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620" activeTab="1"/>
  </bookViews>
  <sheets>
    <sheet name="Hoja1" sheetId="1" r:id="rId1"/>
    <sheet name="Hoja2" sheetId="2" r:id="rId2"/>
  </sheets>
  <definedNames>
    <definedName name="_xlnm._FilterDatabase" localSheetId="0" hidden="1">Hoja1!$A$10:$P$96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2" l="1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N18" i="1"/>
  <c r="M18" i="1"/>
  <c r="L18" i="1"/>
  <c r="H18" i="1"/>
  <c r="N57" i="1" l="1"/>
  <c r="M57" i="1"/>
  <c r="L57" i="1"/>
  <c r="N83" i="1"/>
  <c r="M83" i="1"/>
  <c r="L83" i="1"/>
  <c r="N82" i="1"/>
  <c r="M82" i="1"/>
  <c r="L82" i="1"/>
  <c r="N75" i="1"/>
  <c r="M75" i="1"/>
  <c r="L75" i="1"/>
  <c r="N52" i="1"/>
  <c r="M52" i="1"/>
  <c r="L52" i="1"/>
  <c r="N48" i="1"/>
  <c r="M48" i="1"/>
  <c r="H48" i="1"/>
  <c r="N36" i="1"/>
  <c r="M36" i="1"/>
  <c r="L36" i="1"/>
  <c r="N22" i="1"/>
  <c r="M22" i="1"/>
  <c r="L22" i="1"/>
  <c r="M56" i="1"/>
  <c r="N23" i="1"/>
  <c r="M23" i="1"/>
  <c r="L23" i="1"/>
  <c r="N67" i="1"/>
  <c r="M67" i="1"/>
  <c r="H67" i="1"/>
  <c r="H49" i="1" l="1"/>
  <c r="L49" i="1"/>
  <c r="M49" i="1"/>
  <c r="N49" i="1"/>
  <c r="H50" i="1"/>
  <c r="M50" i="1"/>
  <c r="N50" i="1"/>
  <c r="M27" i="1" l="1"/>
  <c r="N93" i="1"/>
  <c r="M11" i="1"/>
  <c r="M34" i="1"/>
  <c r="N78" i="1" l="1"/>
  <c r="M78" i="1"/>
  <c r="L78" i="1"/>
  <c r="N17" i="1"/>
  <c r="M17" i="1"/>
  <c r="L17" i="1"/>
  <c r="N95" i="1"/>
  <c r="M95" i="1"/>
  <c r="L95" i="1"/>
  <c r="N94" i="1"/>
  <c r="M94" i="1"/>
  <c r="L94" i="1"/>
  <c r="M93" i="1"/>
  <c r="L93" i="1"/>
  <c r="M91" i="1"/>
  <c r="N90" i="1"/>
  <c r="M90" i="1"/>
  <c r="L90" i="1"/>
  <c r="N29" i="1"/>
  <c r="M29" i="1"/>
  <c r="L29" i="1"/>
  <c r="N88" i="1"/>
  <c r="M88" i="1"/>
  <c r="L88" i="1"/>
  <c r="N81" i="1"/>
  <c r="M81" i="1"/>
  <c r="L81" i="1"/>
  <c r="M79" i="1"/>
  <c r="N76" i="1"/>
  <c r="M76" i="1"/>
  <c r="L76" i="1"/>
  <c r="N70" i="1"/>
  <c r="M70" i="1"/>
  <c r="L70" i="1"/>
  <c r="M65" i="1"/>
  <c r="L65" i="1"/>
  <c r="N59" i="1"/>
  <c r="M59" i="1"/>
  <c r="L59" i="1"/>
  <c r="N44" i="1"/>
  <c r="M44" i="1"/>
  <c r="N41" i="1"/>
  <c r="M41" i="1"/>
  <c r="L41" i="1"/>
  <c r="N32" i="1"/>
  <c r="M32" i="1"/>
  <c r="L32" i="1"/>
  <c r="N31" i="1"/>
  <c r="M31" i="1"/>
  <c r="L31" i="1"/>
  <c r="H31" i="1"/>
  <c r="N14" i="1"/>
  <c r="M14" i="1"/>
  <c r="L14" i="1"/>
  <c r="N15" i="1"/>
  <c r="M15" i="1"/>
  <c r="L15" i="1"/>
  <c r="M12" i="1"/>
  <c r="M16" i="1"/>
  <c r="L16" i="1"/>
  <c r="N80" i="1"/>
  <c r="M80" i="1"/>
  <c r="L80" i="1"/>
  <c r="N77" i="1"/>
  <c r="M77" i="1"/>
  <c r="L77" i="1"/>
  <c r="N73" i="1"/>
  <c r="M73" i="1"/>
  <c r="L73" i="1"/>
  <c r="N63" i="1"/>
  <c r="M63" i="1"/>
  <c r="L63" i="1"/>
  <c r="N58" i="1"/>
  <c r="M58" i="1"/>
  <c r="L58" i="1"/>
  <c r="N61" i="1"/>
  <c r="M61" i="1"/>
  <c r="L61" i="1"/>
  <c r="H43" i="1"/>
  <c r="N43" i="1"/>
  <c r="M43" i="1"/>
  <c r="N28" i="1"/>
  <c r="M28" i="1"/>
  <c r="L28" i="1"/>
  <c r="M25" i="1"/>
  <c r="N13" i="1"/>
  <c r="M13" i="1"/>
  <c r="L13" i="1"/>
  <c r="N19" i="1"/>
  <c r="M19" i="1"/>
  <c r="L19" i="1"/>
  <c r="M64" i="1"/>
  <c r="L64" i="1"/>
  <c r="N53" i="1"/>
  <c r="M53" i="1"/>
  <c r="L53" i="1"/>
  <c r="N46" i="1"/>
  <c r="M46" i="1"/>
  <c r="L46" i="1"/>
  <c r="M45" i="1"/>
  <c r="N39" i="1"/>
  <c r="M39" i="1"/>
  <c r="L39" i="1"/>
  <c r="N92" i="1"/>
  <c r="M92" i="1"/>
  <c r="L92" i="1"/>
  <c r="N85" i="1"/>
  <c r="M85" i="1"/>
  <c r="L85" i="1"/>
  <c r="M66" i="1"/>
  <c r="N60" i="1"/>
  <c r="M60" i="1"/>
  <c r="L60" i="1"/>
  <c r="N42" i="1"/>
  <c r="M42" i="1"/>
  <c r="L42" i="1"/>
  <c r="M20" i="1"/>
  <c r="N74" i="1"/>
  <c r="M74" i="1"/>
  <c r="L74" i="1"/>
  <c r="N69" i="1"/>
  <c r="M69" i="1"/>
  <c r="L69" i="1"/>
  <c r="N62" i="1"/>
  <c r="M62" i="1"/>
  <c r="L62" i="1"/>
  <c r="N56" i="1"/>
  <c r="N47" i="1"/>
  <c r="M47" i="1"/>
  <c r="L47" i="1"/>
  <c r="N38" i="1"/>
  <c r="M38" i="1"/>
  <c r="L38" i="1"/>
  <c r="N27" i="1"/>
  <c r="L27" i="1"/>
  <c r="N96" i="1"/>
  <c r="M96" i="1"/>
  <c r="L96" i="1"/>
  <c r="N89" i="1"/>
  <c r="M89" i="1"/>
  <c r="L89" i="1"/>
  <c r="M87" i="1"/>
  <c r="N86" i="1"/>
  <c r="M86" i="1"/>
  <c r="L86" i="1"/>
  <c r="M55" i="1"/>
  <c r="M33" i="1"/>
  <c r="L33" i="1"/>
  <c r="N26" i="1"/>
  <c r="M26" i="1"/>
  <c r="N72" i="1"/>
  <c r="M72" i="1"/>
  <c r="L72" i="1"/>
  <c r="N68" i="1"/>
  <c r="M68" i="1"/>
  <c r="L68" i="1"/>
  <c r="M40" i="1"/>
  <c r="H40" i="1"/>
  <c r="M37" i="1"/>
  <c r="M30" i="1"/>
  <c r="N24" i="1"/>
  <c r="M24" i="1"/>
  <c r="L24" i="1"/>
  <c r="N21" i="1"/>
  <c r="M21" i="1"/>
  <c r="L21" i="1"/>
  <c r="N84" i="1"/>
  <c r="M84" i="1"/>
  <c r="H84" i="1"/>
  <c r="N51" i="1"/>
  <c r="M51" i="1"/>
  <c r="H51" i="1"/>
  <c r="N11" i="1"/>
  <c r="H11" i="1"/>
  <c r="N71" i="1"/>
  <c r="M71" i="1"/>
  <c r="L71" i="1"/>
  <c r="N35" i="1"/>
  <c r="M35" i="1"/>
  <c r="L35" i="1"/>
  <c r="M54" i="1" l="1"/>
  <c r="H72" i="1" l="1"/>
  <c r="N45" i="1" l="1"/>
  <c r="H45" i="1"/>
  <c r="H26" i="1" l="1"/>
  <c r="E16" i="2" l="1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H17" i="1" l="1"/>
  <c r="H62" i="1" l="1"/>
  <c r="N40" i="1" l="1"/>
  <c r="H55" i="1" l="1"/>
  <c r="H32" i="1"/>
  <c r="N91" i="1"/>
  <c r="H91" i="1"/>
  <c r="N79" i="1" l="1"/>
  <c r="H79" i="1"/>
  <c r="H57" i="1"/>
  <c r="H46" i="1"/>
  <c r="H39" i="1"/>
  <c r="H92" i="1"/>
  <c r="H60" i="1"/>
  <c r="H56" i="1"/>
  <c r="H47" i="1"/>
  <c r="H68" i="1"/>
  <c r="H71" i="1"/>
  <c r="H81" i="1" l="1"/>
  <c r="H41" i="1"/>
  <c r="H14" i="1" l="1"/>
  <c r="N12" i="1"/>
  <c r="H12" i="1"/>
  <c r="H82" i="1"/>
  <c r="H75" i="1"/>
  <c r="H63" i="1"/>
  <c r="H58" i="1"/>
  <c r="H52" i="1"/>
  <c r="H35" i="1" l="1"/>
  <c r="H61" i="1" l="1"/>
  <c r="H38" i="1"/>
  <c r="H30" i="1"/>
  <c r="N66" i="1" l="1"/>
  <c r="H66" i="1"/>
  <c r="H21" i="1" l="1"/>
  <c r="G83" i="2" l="1"/>
  <c r="H29" i="1" l="1"/>
  <c r="N25" i="1" l="1"/>
  <c r="H25" i="1"/>
  <c r="H78" i="1"/>
  <c r="H95" i="1"/>
  <c r="H76" i="1"/>
  <c r="N65" i="1"/>
  <c r="H65" i="1"/>
  <c r="H59" i="1"/>
  <c r="N55" i="1"/>
  <c r="H44" i="1"/>
  <c r="H15" i="1"/>
  <c r="N16" i="1"/>
  <c r="H16" i="1"/>
  <c r="H83" i="1"/>
  <c r="H73" i="1"/>
  <c r="H28" i="1"/>
  <c r="H22" i="1"/>
  <c r="N64" i="1"/>
  <c r="H64" i="1"/>
  <c r="H53" i="1"/>
  <c r="H85" i="1"/>
  <c r="H42" i="1"/>
  <c r="N20" i="1"/>
  <c r="H20" i="1"/>
  <c r="H27" i="1"/>
  <c r="H89" i="1"/>
  <c r="H74" i="1"/>
  <c r="N33" i="1"/>
  <c r="H33" i="1"/>
  <c r="H23" i="1"/>
  <c r="N37" i="1"/>
  <c r="H37" i="1"/>
  <c r="N30" i="1"/>
  <c r="H24" i="1"/>
  <c r="H94" i="1" l="1"/>
  <c r="H93" i="1"/>
  <c r="H90" i="1"/>
  <c r="H88" i="1"/>
  <c r="N34" i="1"/>
  <c r="H34" i="1"/>
  <c r="H70" i="1"/>
  <c r="H80" i="1"/>
  <c r="H77" i="1"/>
  <c r="H36" i="1"/>
  <c r="H13" i="1"/>
  <c r="H19" i="1"/>
  <c r="N54" i="1" l="1"/>
  <c r="L54" i="1"/>
  <c r="H54" i="1"/>
  <c r="H69" i="1"/>
  <c r="H96" i="1"/>
  <c r="N87" i="1"/>
  <c r="H87" i="1"/>
  <c r="H86" i="1"/>
  <c r="I116" i="2" l="1"/>
  <c r="I114" i="2"/>
  <c r="E112" i="2"/>
  <c r="H108" i="2"/>
  <c r="D107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I118" i="2" l="1"/>
</calcChain>
</file>

<file path=xl/sharedStrings.xml><?xml version="1.0" encoding="utf-8"?>
<sst xmlns="http://schemas.openxmlformats.org/spreadsheetml/2006/main" count="817" uniqueCount="242">
  <si>
    <t>TRIBUNAL DE ARBITRAJE Y ESCALAFON DEL ESTADO DE JALISCO</t>
  </si>
  <si>
    <t>NO.</t>
  </si>
  <si>
    <t>NOMBRE</t>
  </si>
  <si>
    <t>NIVEL</t>
  </si>
  <si>
    <t>SUELDO</t>
  </si>
  <si>
    <t>DESPENSA</t>
  </si>
  <si>
    <t>TRANSPORTE</t>
  </si>
  <si>
    <t>EXCEDENTE</t>
  </si>
  <si>
    <t>QUINQUENIO</t>
  </si>
  <si>
    <t>DESCRIPCION</t>
  </si>
  <si>
    <t>DEPENDENCIA</t>
  </si>
  <si>
    <t>C</t>
  </si>
  <si>
    <t xml:space="preserve">MAGISTRADO                                                  </t>
  </si>
  <si>
    <t>TRIBUNAL DE ARBITRAJE Y ESCALAFON</t>
  </si>
  <si>
    <t xml:space="preserve">AGRAZ CAMARENA MARTHA                                       </t>
  </si>
  <si>
    <t xml:space="preserve">AUXILIAR DE INSTRUCCION                                     </t>
  </si>
  <si>
    <t>B</t>
  </si>
  <si>
    <t xml:space="preserve">OFICIAL MAYOR NOTIFICADOR                                   </t>
  </si>
  <si>
    <t xml:space="preserve">AGUILAR ALMANZAR MIGUEL ANTONIO                             </t>
  </si>
  <si>
    <t xml:space="preserve">AGUILAR GONZALEZ MARTHA PATRICIA                            </t>
  </si>
  <si>
    <t xml:space="preserve">SECRETARIA DEL TRIBUNAL                                     </t>
  </si>
  <si>
    <t xml:space="preserve">ALONSO RODRIGUEZ MARIA DEL ROSARIO                          </t>
  </si>
  <si>
    <t xml:space="preserve">ALVAREZ CARDENAS CECILIA ESTELA                             </t>
  </si>
  <si>
    <t xml:space="preserve">AUXILIAR ADMINISTRATIVO DEL TRIBUNAL                        </t>
  </si>
  <si>
    <t xml:space="preserve">ANDRADE VAZQUEZ VIRIDIANA                                   </t>
  </si>
  <si>
    <t xml:space="preserve">SECRETARIO EJECUTOR                                         </t>
  </si>
  <si>
    <t xml:space="preserve">ARP LAZO JOHANNA ELIZABETH                                  </t>
  </si>
  <si>
    <t xml:space="preserve">AVIÑA ORDAZ MARIA HORTENCIA                                 </t>
  </si>
  <si>
    <t xml:space="preserve">SECRETARIO DE ESTUDIO Y CUENTA                              </t>
  </si>
  <si>
    <t xml:space="preserve">BARRERA MEJIA JAIME                                         </t>
  </si>
  <si>
    <t xml:space="preserve">MENSAJERO DEL TRIBUNAL                                      </t>
  </si>
  <si>
    <t xml:space="preserve">BRISEÑO NAVARRETE GABRIEL                                   </t>
  </si>
  <si>
    <t xml:space="preserve">BRIZUELA MEDINA ADRIANA                                     </t>
  </si>
  <si>
    <t xml:space="preserve">CAMACHO PARRA SILVIA ARACELI                                </t>
  </si>
  <si>
    <t xml:space="preserve">CASTAÑEDA VIZCAINO MARIA DEL SOCORRO                        </t>
  </si>
  <si>
    <t xml:space="preserve">DAVILA RAMOS LIVIER NOHEMI                                  </t>
  </si>
  <si>
    <t xml:space="preserve">DE LA TORRE CARLOS JOSE SERGIO                              </t>
  </si>
  <si>
    <t xml:space="preserve">ESPARZA GOMEZ ANTONIO ULISES                                </t>
  </si>
  <si>
    <t xml:space="preserve">FERNANDEZ ARELLANO DIANA KARINA                             </t>
  </si>
  <si>
    <t xml:space="preserve">SECRETARIO GENERAL DEL TRIBUNAL                             </t>
  </si>
  <si>
    <t xml:space="preserve">FIGUEROA RENDON ROCIO DEL CARMEN                            </t>
  </si>
  <si>
    <t xml:space="preserve">FLORES RODRIGUEZ MARIA ANGELINA                             </t>
  </si>
  <si>
    <t xml:space="preserve">GALAVIZ VALLEJO CLAUDIA ELIZABETH                           </t>
  </si>
  <si>
    <t xml:space="preserve">GARCIA ALVARADO MARIA TERESA                                </t>
  </si>
  <si>
    <t xml:space="preserve">GARCIA RAMOS CLAUDIA                                        </t>
  </si>
  <si>
    <t xml:space="preserve">GARCIA SIORDIA MARIA CRISTINA                               </t>
  </si>
  <si>
    <t xml:space="preserve">GOMEZ LOPEZ OSIRIS                                          </t>
  </si>
  <si>
    <t xml:space="preserve">GONZALEZ ALVARADO JESUS VALENTE                             </t>
  </si>
  <si>
    <t xml:space="preserve">GONZALEZ ANTONIO ALEJANDRO                                  </t>
  </si>
  <si>
    <t xml:space="preserve">GONZALEZ HERNANDEZ IRMA                                     </t>
  </si>
  <si>
    <t xml:space="preserve">GUERRERO LOZANO CYNTHIA LIZBETH                             </t>
  </si>
  <si>
    <t xml:space="preserve">HERNANDEZ GARCIA MARIA CONCEPCION                           </t>
  </si>
  <si>
    <t xml:space="preserve">LARIOS GARCIA RUBEN DARIO                                   </t>
  </si>
  <si>
    <t xml:space="preserve">LARIOS RAMOS HECTOR ENRIQUE                                 </t>
  </si>
  <si>
    <t xml:space="preserve">LARIOS SANDOVAL LAURA CONSUELO                              </t>
  </si>
  <si>
    <t xml:space="preserve">JEFE ADMINISTRATIVO DEL TRIBUNAL                            </t>
  </si>
  <si>
    <t xml:space="preserve">LOPEZ RUIZ JOSE JUAN                                        </t>
  </si>
  <si>
    <t xml:space="preserve">MADRIGAL MALDONADO MARLENE                                  </t>
  </si>
  <si>
    <t xml:space="preserve">MANJARREZ RODRIGUEZ IGNACIO                                 </t>
  </si>
  <si>
    <t xml:space="preserve">MARTIN ACOSTA KARLA GEORGINA                                </t>
  </si>
  <si>
    <t xml:space="preserve">MARTIN DE LA MORA MARIA CELINA                              </t>
  </si>
  <si>
    <t xml:space="preserve">MEDA HERNANDEZ TAMARA METZERI                               </t>
  </si>
  <si>
    <t xml:space="preserve">MENDOZA CARDENAS PAULINA                                    </t>
  </si>
  <si>
    <t xml:space="preserve">AUXILIAR DE INTENDENCIA DEL TRIBUNAL                        </t>
  </si>
  <si>
    <t xml:space="preserve">NAVARRO JIMENEZ JESUS ARMANDO                               </t>
  </si>
  <si>
    <t xml:space="preserve">OROZCO GONZALEZ GREGORIA SONIA                              </t>
  </si>
  <si>
    <t xml:space="preserve">ORTEGA MENDEZ ADRIANA                                       </t>
  </si>
  <si>
    <t xml:space="preserve">PEÑA FLORES CLAUDIA ARACELI                                 </t>
  </si>
  <si>
    <t xml:space="preserve">PEREZ FRIAS VICTORIA                                        </t>
  </si>
  <si>
    <t>PINEDA OCHOA MONICA LETICIA</t>
  </si>
  <si>
    <t xml:space="preserve">RAMIREZ GALLEGOS MARTHA ISELA                               </t>
  </si>
  <si>
    <t xml:space="preserve">RAMIREZ RODRIGUEZ SALVADOR                                  </t>
  </si>
  <si>
    <t xml:space="preserve">INSPECTOR                                                   </t>
  </si>
  <si>
    <t xml:space="preserve">REA LOZANO ATZINTLI QUETZALLI                               </t>
  </si>
  <si>
    <t xml:space="preserve">RENTERIA ESQUEDA MONICA PAULINA                             </t>
  </si>
  <si>
    <t xml:space="preserve">REYNOSO OROZCO DANIELA                                      </t>
  </si>
  <si>
    <t xml:space="preserve">ROBLES CANDELARIO PATRICIA                                  </t>
  </si>
  <si>
    <t xml:space="preserve">RODRIGUEZ AGUILERA CONSUELO                                 </t>
  </si>
  <si>
    <t xml:space="preserve">RODRIGUEZ RODRIGUEZ MARIA EUGENIA                           </t>
  </si>
  <si>
    <t xml:space="preserve">RODRIGUEZ ZAVALA MARTHA PATRICIA                            </t>
  </si>
  <si>
    <t xml:space="preserve">SANCHEZ SANCHEZ ALMA MINERVA                                </t>
  </si>
  <si>
    <t xml:space="preserve">SANCHEZ SANCHEZ GLADYS                                      </t>
  </si>
  <si>
    <t xml:space="preserve">TORRES CORTES HILDA MAGALY                                  </t>
  </si>
  <si>
    <t xml:space="preserve">TORRES MIRAMONTES MARIA DEL ROSARIO                         </t>
  </si>
  <si>
    <t xml:space="preserve">VALDIVIA SANDOVAL ANA ELIZABETH                             </t>
  </si>
  <si>
    <t xml:space="preserve">VALLE SALDAÑA LILIA DEL CARMEN                              </t>
  </si>
  <si>
    <t xml:space="preserve">VALLEJO GONZALEZ ILIANA JUDITH                              </t>
  </si>
  <si>
    <t xml:space="preserve">VILLAVERDE GUTIERREZ CLAUDIA IVETTE                         </t>
  </si>
  <si>
    <t xml:space="preserve">VILLEGAS SAUCEDO PAMELA MAGALY                              </t>
  </si>
  <si>
    <t xml:space="preserve">WITT FRANCO WENDY                                           </t>
  </si>
  <si>
    <t xml:space="preserve">WITT GUTIERREZ JUAN FERNANDO                                </t>
  </si>
  <si>
    <t>ACTIVO, VACANTE O LITIGIO</t>
  </si>
  <si>
    <t>CATEGORIA</t>
  </si>
  <si>
    <t>CUOTAS PARA VIVIENDA 3%</t>
  </si>
  <si>
    <t>CUOTAS AL SEDAR 2%</t>
  </si>
  <si>
    <t>DESPENSA 1712</t>
  </si>
  <si>
    <t>TRANSPORTE 1713</t>
  </si>
  <si>
    <t>ACTIVO</t>
  </si>
  <si>
    <t>TOTAL MUJERES</t>
  </si>
  <si>
    <t xml:space="preserve">PLAZAS VACANTES </t>
  </si>
  <si>
    <t>TOTAL HOMBRES</t>
  </si>
  <si>
    <t>PLAZAS OCUPADAS</t>
  </si>
  <si>
    <t>TOTAL</t>
  </si>
  <si>
    <t>CATEGORIA B</t>
  </si>
  <si>
    <t>BASE</t>
  </si>
  <si>
    <t>CATEGORIA C</t>
  </si>
  <si>
    <t>CONFIANZA</t>
  </si>
  <si>
    <t>TOTAL MUJERES BASE</t>
  </si>
  <si>
    <t>TOTAL HOMBRES BASE</t>
  </si>
  <si>
    <t>TOTAL MUJERES CONFIANZA</t>
  </si>
  <si>
    <t>TOTAL HOMBRES CONFIANZA</t>
  </si>
  <si>
    <t xml:space="preserve">TOTAL  PLAZAS </t>
  </si>
  <si>
    <t>FONDO DE PENSIONES</t>
  </si>
  <si>
    <t>LOPEZ GUILLEN FRANCISCO JAVIER</t>
  </si>
  <si>
    <t>TECNICO ESPECIALIZADO</t>
  </si>
  <si>
    <t>TRIBUNAL DE ARBITRAJE Y ESCALAFÓN</t>
  </si>
  <si>
    <t>AUXILIAR DE INTENDENCIA DEL TRIBUNAL</t>
  </si>
  <si>
    <t>AUXILIAR DE INSTRUCCIÓN</t>
  </si>
  <si>
    <t xml:space="preserve">SOTO CICILIANO LAURA </t>
  </si>
  <si>
    <t>SECRETARIA DEL TRIBUNAL</t>
  </si>
  <si>
    <t>OFICIAL MAYOR NOTIFICADOR</t>
  </si>
  <si>
    <t>COORDINADOR DE ANALISIS Y SEGUIMIENTO</t>
  </si>
  <si>
    <t>LOPEZ GARCIA EDGAR RIGOBERTO</t>
  </si>
  <si>
    <t>BARAJAS BANDERAS JOSE ROBERTO</t>
  </si>
  <si>
    <t xml:space="preserve"> APORTACION A PENSIONES PATRON</t>
  </si>
  <si>
    <t>H</t>
  </si>
  <si>
    <t>M</t>
  </si>
  <si>
    <t>GUZMAN ROBLEDO NOEMI FABIOLA</t>
  </si>
  <si>
    <t>GALVAN BASULTO ROSA MAYELA</t>
  </si>
  <si>
    <t>RIVERA ROMO TERESA MAGDALENA</t>
  </si>
  <si>
    <t>ALVARADO FAJARDO FELIPE GABINO</t>
  </si>
  <si>
    <t>MAGISTRADO</t>
  </si>
  <si>
    <t>SALAZAR RIVAS VICTOR</t>
  </si>
  <si>
    <t xml:space="preserve">MAGISTRADO PRESIDENTE                                                  </t>
  </si>
  <si>
    <t>MARTIN DEL CAMPO LOPEZ YESHICA ILIANA</t>
  </si>
  <si>
    <t>NIÑO BANDERAS CARLOS FRANCISCO</t>
  </si>
  <si>
    <t>CAMPOS PEREZ JOSE LUIS SANTIAGO</t>
  </si>
  <si>
    <t>LITIGIO</t>
  </si>
  <si>
    <t>GARCIA SANTOS MONICA LETICIA</t>
  </si>
  <si>
    <t xml:space="preserve">TRIBUNAL DE ARBITRAJE Y ESCALAFON </t>
  </si>
  <si>
    <t xml:space="preserve">JARAMILLO VILLEGAS SANDRA GISELA </t>
  </si>
  <si>
    <t>CASAS CESAR ALEJANDRO</t>
  </si>
  <si>
    <t xml:space="preserve">DIAZ FLORES VIOLETA </t>
  </si>
  <si>
    <t>RAMIREZ MUÑOZ SARA VERONICA</t>
  </si>
  <si>
    <t>FLORES ENRIQUEZ DIANA KARINA</t>
  </si>
  <si>
    <t>TIEMPO DETERMINADO</t>
  </si>
  <si>
    <t>DEFINITIVO</t>
  </si>
  <si>
    <t>INTERINO</t>
  </si>
  <si>
    <t>CARÁCTER</t>
  </si>
  <si>
    <t>CLAVE DE COBRO</t>
  </si>
  <si>
    <t>72001CAC8270000000001</t>
  </si>
  <si>
    <t>72001CAC3560000000011</t>
  </si>
  <si>
    <t>72001CAB1540000000007</t>
  </si>
  <si>
    <t>72001CAB1540000000008</t>
  </si>
  <si>
    <t>72001CAB1260000000001</t>
  </si>
  <si>
    <t>72001CAC4780000000001</t>
  </si>
  <si>
    <t>72001CAB1540000000020</t>
  </si>
  <si>
    <t>72001CAC4765000000014</t>
  </si>
  <si>
    <t>72001CAB1260000000005</t>
  </si>
  <si>
    <t>72001CAB1480000000001</t>
  </si>
  <si>
    <t>72001CAB1540000000001</t>
  </si>
  <si>
    <t>72001CAB1540000000013</t>
  </si>
  <si>
    <t>72001CAC3560000000009</t>
  </si>
  <si>
    <t>72001CAC4765000000004</t>
  </si>
  <si>
    <t>72001CAC4765000000010</t>
  </si>
  <si>
    <t>72001CAB1540000000011</t>
  </si>
  <si>
    <t>72001CAB1540000000003</t>
  </si>
  <si>
    <t>72001CAC3560000000010</t>
  </si>
  <si>
    <t>72001CAB1480000000004</t>
  </si>
  <si>
    <t>72001CAB1540000000009</t>
  </si>
  <si>
    <t>72001CAB1540000000017</t>
  </si>
  <si>
    <t>72001CAB1540000000004</t>
  </si>
  <si>
    <t>72001CAB1480000000006</t>
  </si>
  <si>
    <t>72001CAB1540000000019</t>
  </si>
  <si>
    <t>72001CAB1480000000002</t>
  </si>
  <si>
    <t>72001CAC3560000000015</t>
  </si>
  <si>
    <t>72001CAC4765000000012</t>
  </si>
  <si>
    <t>72001CAB1480000000007</t>
  </si>
  <si>
    <t>72001CAB1540000000018</t>
  </si>
  <si>
    <t>72001CAB1260000000003</t>
  </si>
  <si>
    <t>72001CAC3560000000005</t>
  </si>
  <si>
    <t>72001CAC4765000000007</t>
  </si>
  <si>
    <t>72001CAB1260000000007</t>
  </si>
  <si>
    <t>72001CAB1540000000014</t>
  </si>
  <si>
    <t>72001CAB1440000000001</t>
  </si>
  <si>
    <t>72001CAB1260000000002</t>
  </si>
  <si>
    <t>72001CAB1540000000021</t>
  </si>
  <si>
    <t>72001CAC3560000000016</t>
  </si>
  <si>
    <t>72001CAC4765000000003</t>
  </si>
  <si>
    <t>72001CAC3560000000012</t>
  </si>
  <si>
    <t>72001CAB1260000000006</t>
  </si>
  <si>
    <t>72001CAB1540000000002</t>
  </si>
  <si>
    <t>72001CAC8875000000001</t>
  </si>
  <si>
    <t>72001CAB1480000000005</t>
  </si>
  <si>
    <t>72001CAC4765000000006</t>
  </si>
  <si>
    <t>72001CAB1540000000010</t>
  </si>
  <si>
    <t>072001CAB1540000000006</t>
  </si>
  <si>
    <t>72001CAC3560000000001</t>
  </si>
  <si>
    <t>72001CAC4765000000008</t>
  </si>
  <si>
    <t>72001CAB1260000000004</t>
  </si>
  <si>
    <t>72001CAC7115000000001</t>
  </si>
  <si>
    <t xml:space="preserve">ISR </t>
  </si>
  <si>
    <t>72001CAC8270000000002</t>
  </si>
  <si>
    <t>072001CAC4765000000001</t>
  </si>
  <si>
    <t>72001CAB0865000000001</t>
  </si>
  <si>
    <t>072001CAC1635000000001</t>
  </si>
  <si>
    <t>072001CAB0655000000001</t>
  </si>
  <si>
    <t>072001CAB0655000000002</t>
  </si>
  <si>
    <t>072001CAC3045000000001</t>
  </si>
  <si>
    <t>072001CAC4445000000001</t>
  </si>
  <si>
    <t>072001CAB1540000000012</t>
  </si>
  <si>
    <t>072001CAC3560000000002</t>
  </si>
  <si>
    <t>072001CAC3560000000003</t>
  </si>
  <si>
    <t>072001CAC7115000000002</t>
  </si>
  <si>
    <t>072001CAB1480000000003</t>
  </si>
  <si>
    <t>072001CAC3560000000004</t>
  </si>
  <si>
    <t>072001CAB1540000000015</t>
  </si>
  <si>
    <t>072001TAC3560000000001</t>
  </si>
  <si>
    <t>072001CAB1540000000016</t>
  </si>
  <si>
    <t>072001CAC7115000000003</t>
  </si>
  <si>
    <t>072001CAC3560000000008</t>
  </si>
  <si>
    <t>072001CAC3560000000007</t>
  </si>
  <si>
    <t>072001CAC7115000000004</t>
  </si>
  <si>
    <t>072001CAC1480000000001</t>
  </si>
  <si>
    <t>072001CAB1260000000008</t>
  </si>
  <si>
    <t>072001CAC1480000000002</t>
  </si>
  <si>
    <t>072001CAC7115000000005</t>
  </si>
  <si>
    <t>072001CAC3560000000014</t>
  </si>
  <si>
    <t>072001CAC4765000000002</t>
  </si>
  <si>
    <t>072001CAC4765000000011</t>
  </si>
  <si>
    <t>72001CAC4765000000009</t>
  </si>
  <si>
    <t>072001CAC1540000000001</t>
  </si>
  <si>
    <t>072001CAC4765000000005</t>
  </si>
  <si>
    <t>072001CAB1540000000005</t>
  </si>
  <si>
    <t>72001CAC4765000000013</t>
  </si>
  <si>
    <t>072001CAC3560000000013</t>
  </si>
  <si>
    <t>OLIVARES DIAZ SANJUANA</t>
  </si>
  <si>
    <t>HERNANDEZ FERNANDEZ MARTHA ROCIO</t>
  </si>
  <si>
    <t/>
  </si>
  <si>
    <t>REMUNERACIONES  MARZO  2020</t>
  </si>
  <si>
    <t>REMUNERACIONES DEL MES DE MARZO DE 2020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</si>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</sst>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13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10" xfId="0" applyBorder="1"/>
    <xf numFmtId="4" fontId="0" fillId="4" borderId="5" xfId="0" applyNumberFormat="1" applyFill="1" applyBorder="1"/>
    <xf numFmtId="0" fontId="3" fillId="0" borderId="0" xfId="0" applyFont="1"/>
    <xf numFmtId="4" fontId="0" fillId="4" borderId="5" xfId="0" applyNumberFormat="1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0" fillId="4" borderId="0" xfId="0" applyNumberForma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4" fillId="0" borderId="12" xfId="0" applyFont="1" applyBorder="1"/>
    <xf numFmtId="0" fontId="0" fillId="0" borderId="0" xfId="0" applyAlignment="1">
      <alignment horizontal="left"/>
    </xf>
    <xf numFmtId="17" fontId="7" fillId="0" borderId="0" xfId="1" applyNumberFormat="1" applyFont="1" applyFill="1" applyBorder="1"/>
    <xf numFmtId="4" fontId="0" fillId="4" borderId="20" xfId="0" applyNumberFormat="1" applyFill="1" applyBorder="1" applyAlignment="1">
      <alignment horizontal="right"/>
    </xf>
    <xf numFmtId="0" fontId="0" fillId="5" borderId="12" xfId="0" applyFont="1" applyFill="1" applyBorder="1"/>
    <xf numFmtId="0" fontId="3" fillId="5" borderId="12" xfId="0" applyFont="1" applyFill="1" applyBorder="1" applyAlignment="1">
      <alignment horizontal="center" wrapText="1"/>
    </xf>
    <xf numFmtId="9" fontId="3" fillId="5" borderId="12" xfId="0" applyNumberFormat="1" applyFont="1" applyFill="1" applyBorder="1" applyAlignment="1">
      <alignment horizontal="center" wrapText="1"/>
    </xf>
    <xf numFmtId="0" fontId="11" fillId="3" borderId="1" xfId="2" applyFont="1"/>
    <xf numFmtId="0" fontId="9" fillId="0" borderId="12" xfId="0" applyFont="1" applyBorder="1"/>
    <xf numFmtId="0" fontId="0" fillId="4" borderId="0" xfId="0" applyFill="1"/>
    <xf numFmtId="0" fontId="12" fillId="4" borderId="0" xfId="0" applyFont="1" applyFill="1"/>
    <xf numFmtId="0" fontId="0" fillId="4" borderId="0" xfId="0" applyFill="1" applyBorder="1"/>
    <xf numFmtId="4" fontId="13" fillId="4" borderId="5" xfId="0" applyNumberFormat="1" applyFont="1" applyFill="1" applyBorder="1"/>
    <xf numFmtId="2" fontId="0" fillId="4" borderId="5" xfId="0" applyNumberFormat="1" applyFill="1" applyBorder="1"/>
    <xf numFmtId="4" fontId="0" fillId="4" borderId="20" xfId="0" applyNumberFormat="1" applyFill="1" applyBorder="1"/>
    <xf numFmtId="0" fontId="0" fillId="4" borderId="5" xfId="0" applyFill="1" applyBorder="1"/>
    <xf numFmtId="0" fontId="0" fillId="4" borderId="20" xfId="0" applyFill="1" applyBorder="1" applyAlignment="1">
      <alignment horizontal="center"/>
    </xf>
    <xf numFmtId="4" fontId="0" fillId="4" borderId="0" xfId="0" applyNumberFormat="1" applyFill="1" applyBorder="1"/>
    <xf numFmtId="0" fontId="13" fillId="4" borderId="5" xfId="0" applyFont="1" applyFill="1" applyBorder="1"/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/>
    <xf numFmtId="0" fontId="11" fillId="3" borderId="22" xfId="2" applyFont="1" applyBorder="1" applyAlignment="1">
      <alignment horizontal="center" vertical="center" wrapText="1"/>
    </xf>
    <xf numFmtId="0" fontId="11" fillId="3" borderId="23" xfId="2" applyFont="1" applyBorder="1" applyAlignment="1">
      <alignment horizontal="center" vertical="center" wrapText="1"/>
    </xf>
    <xf numFmtId="0" fontId="11" fillId="3" borderId="24" xfId="2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/>
    <xf numFmtId="0" fontId="13" fillId="4" borderId="8" xfId="0" applyFont="1" applyFill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3" borderId="23" xfId="2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25" xfId="0" applyBorder="1"/>
    <xf numFmtId="0" fontId="11" fillId="4" borderId="21" xfId="2" applyFont="1" applyFill="1" applyBorder="1" applyAlignment="1">
      <alignment wrapText="1"/>
    </xf>
    <xf numFmtId="0" fontId="11" fillId="4" borderId="1" xfId="2" applyFont="1" applyFill="1"/>
    <xf numFmtId="0" fontId="0" fillId="6" borderId="4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5" xfId="0" applyFill="1" applyBorder="1"/>
    <xf numFmtId="4" fontId="0" fillId="6" borderId="5" xfId="0" applyNumberFormat="1" applyFill="1" applyBorder="1"/>
    <xf numFmtId="4" fontId="0" fillId="6" borderId="18" xfId="0" applyNumberFormat="1" applyFill="1" applyBorder="1" applyAlignment="1">
      <alignment horizontal="right"/>
    </xf>
    <xf numFmtId="0" fontId="0" fillId="6" borderId="0" xfId="0" applyFill="1"/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" fontId="0" fillId="6" borderId="5" xfId="0" applyNumberFormat="1" applyFill="1" applyBorder="1" applyAlignment="1">
      <alignment horizontal="right"/>
    </xf>
    <xf numFmtId="0" fontId="0" fillId="6" borderId="5" xfId="0" applyFont="1" applyFill="1" applyBorder="1" applyAlignment="1">
      <alignment horizontal="center"/>
    </xf>
    <xf numFmtId="4" fontId="0" fillId="6" borderId="5" xfId="0" applyNumberFormat="1" applyFont="1" applyFill="1" applyBorder="1" applyAlignment="1">
      <alignment horizontal="right"/>
    </xf>
    <xf numFmtId="2" fontId="0" fillId="6" borderId="5" xfId="0" applyNumberFormat="1" applyFill="1" applyBorder="1"/>
    <xf numFmtId="4" fontId="8" fillId="6" borderId="5" xfId="0" applyNumberFormat="1" applyFont="1" applyFill="1" applyBorder="1" applyAlignment="1">
      <alignment horizontal="right"/>
    </xf>
    <xf numFmtId="0" fontId="13" fillId="6" borderId="5" xfId="0" applyFont="1" applyFill="1" applyBorder="1"/>
    <xf numFmtId="4" fontId="13" fillId="6" borderId="5" xfId="0" applyNumberFormat="1" applyFont="1" applyFill="1" applyBorder="1"/>
    <xf numFmtId="0" fontId="0" fillId="4" borderId="5" xfId="0" applyFont="1" applyFill="1" applyBorder="1"/>
    <xf numFmtId="0" fontId="16" fillId="4" borderId="5" xfId="0" applyFont="1" applyFill="1" applyBorder="1"/>
    <xf numFmtId="4" fontId="0" fillId="4" borderId="5" xfId="0" applyNumberFormat="1" applyFont="1" applyFill="1" applyBorder="1"/>
    <xf numFmtId="0" fontId="0" fillId="4" borderId="9" xfId="0" applyFill="1" applyBorder="1"/>
    <xf numFmtId="0" fontId="13" fillId="4" borderId="5" xfId="0" applyFont="1" applyFill="1" applyBorder="1" applyAlignment="1">
      <alignment horizontal="center"/>
    </xf>
    <xf numFmtId="0" fontId="14" fillId="4" borderId="5" xfId="0" applyFont="1" applyFill="1" applyBorder="1"/>
    <xf numFmtId="0" fontId="14" fillId="4" borderId="5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/>
    </xf>
    <xf numFmtId="0" fontId="16" fillId="4" borderId="20" xfId="0" applyFont="1" applyFill="1" applyBorder="1"/>
    <xf numFmtId="0" fontId="0" fillId="4" borderId="20" xfId="0" applyFont="1" applyFill="1" applyBorder="1"/>
    <xf numFmtId="4" fontId="0" fillId="6" borderId="5" xfId="0" applyNumberFormat="1" applyFont="1" applyFill="1" applyBorder="1"/>
    <xf numFmtId="17" fontId="15" fillId="0" borderId="0" xfId="0" applyNumberFormat="1" applyFont="1" applyBorder="1"/>
    <xf numFmtId="0" fontId="2" fillId="3" borderId="23" xfId="2" quotePrefix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8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</cellXfs>
  <cellStyles count="3">
    <cellStyle name="Entrada" xfId="2" builtinId="20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128452</xdr:colOff>
      <xdr:row>1</xdr:row>
      <xdr:rowOff>38747</xdr:rowOff>
    </xdr:from>
    <xdr:to>
      <xdr:col>2</xdr:col>
      <xdr:colOff>2516053</xdr:colOff>
      <xdr:row>5</xdr:row>
      <xdr:rowOff>173684</xdr:rowOff>
    </xdr:to>
    <xdr:pic>
      <xdr:nvPicPr>
        <xdr:cNvPr id="2" name="1 Imagen" descr="Logo-Tribunal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439" y="232476"/>
          <a:ext cx="2387601" cy="102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1628775</xdr:colOff>
      <xdr:row>5</xdr:row>
      <xdr:rowOff>154099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2962275" cy="91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X573"/>
  <sheetViews>
    <sheetView topLeftCell="A78" zoomScaleNormal="100" workbookViewId="0">
      <selection activeCell="A18" sqref="A18"/>
    </sheetView>
  </sheetViews>
  <sheetFormatPr baseColWidth="10" defaultRowHeight="15" x14ac:dyDescent="0.25"/>
  <cols>
    <col min="1" max="1" width="5.7109375" customWidth="1"/>
    <col min="2" max="2" width="6" style="55" customWidth="1"/>
    <col min="3" max="3" width="43.28515625" customWidth="1"/>
    <col min="4" max="4" width="4.42578125" style="55" customWidth="1"/>
    <col min="5" max="5" width="15.5703125" style="55" customWidth="1"/>
    <col min="6" max="6" width="8.42578125" style="49" customWidth="1"/>
    <col min="7" max="7" width="25" style="49" customWidth="1"/>
    <col min="8" max="8" width="11.42578125" customWidth="1"/>
    <col min="9" max="9" width="14.42578125" customWidth="1"/>
    <col min="10" max="10" width="14.7109375" customWidth="1"/>
    <col min="11" max="11" width="11.42578125" customWidth="1"/>
    <col min="12" max="13" width="13.5703125" customWidth="1"/>
    <col min="14" max="14" width="13.140625" customWidth="1"/>
    <col min="15" max="15" width="40.7109375" customWidth="1"/>
    <col min="16" max="16" width="34.85546875" customWidth="1"/>
  </cols>
  <sheetData>
    <row r="1" spans="1:830" x14ac:dyDescent="0.25">
      <c r="B1" s="53"/>
      <c r="C1" s="63"/>
      <c r="D1" s="61"/>
      <c r="E1" s="61"/>
    </row>
    <row r="2" spans="1:830" x14ac:dyDescent="0.25">
      <c r="B2" s="53"/>
      <c r="C2" s="18"/>
      <c r="D2" s="61"/>
      <c r="E2" s="61"/>
    </row>
    <row r="3" spans="1:830" ht="15.75" x14ac:dyDescent="0.25">
      <c r="B3" s="53"/>
      <c r="C3" s="27"/>
      <c r="D3" s="47"/>
      <c r="E3" s="47"/>
    </row>
    <row r="4" spans="1:830" x14ac:dyDescent="0.25">
      <c r="B4" s="53"/>
      <c r="C4" s="18"/>
      <c r="D4" s="61"/>
      <c r="E4" s="61"/>
      <c r="H4" s="15"/>
      <c r="I4" s="16"/>
      <c r="J4" s="16"/>
      <c r="K4" s="16"/>
      <c r="L4" s="16"/>
      <c r="M4" s="16"/>
      <c r="N4" s="16"/>
      <c r="O4" s="17"/>
    </row>
    <row r="5" spans="1:830" ht="23.25" x14ac:dyDescent="0.35">
      <c r="A5" s="1"/>
      <c r="B5" s="52"/>
      <c r="C5" s="19"/>
      <c r="D5" s="48"/>
      <c r="E5" s="48"/>
      <c r="F5" s="59"/>
      <c r="G5" s="59"/>
      <c r="H5" s="95" t="s">
        <v>0</v>
      </c>
      <c r="I5" s="96"/>
      <c r="J5" s="96"/>
      <c r="K5" s="96"/>
      <c r="L5" s="96"/>
      <c r="M5" s="96"/>
      <c r="N5" s="96"/>
      <c r="O5" s="97"/>
      <c r="P5" s="1"/>
      <c r="Q5" s="1"/>
    </row>
    <row r="6" spans="1:830" ht="21" x14ac:dyDescent="0.35">
      <c r="B6" s="53"/>
      <c r="C6" s="18"/>
      <c r="D6" s="61"/>
      <c r="E6" s="61"/>
      <c r="F6" s="8"/>
      <c r="G6" s="8"/>
      <c r="H6" s="98" t="s">
        <v>239</v>
      </c>
      <c r="I6" s="99"/>
      <c r="J6" s="99"/>
      <c r="K6" s="99"/>
      <c r="L6" s="99"/>
      <c r="M6" s="99"/>
      <c r="N6" s="99"/>
      <c r="O6" s="100"/>
    </row>
    <row r="7" spans="1:830" x14ac:dyDescent="0.25">
      <c r="B7" s="53"/>
      <c r="C7" s="3"/>
      <c r="D7" s="61"/>
      <c r="E7" s="61"/>
      <c r="F7" s="8"/>
      <c r="G7" s="8"/>
    </row>
    <row r="8" spans="1:830" s="2" customFormat="1" x14ac:dyDescent="0.25">
      <c r="B8" s="54"/>
      <c r="D8" s="54"/>
      <c r="E8" s="54"/>
      <c r="F8" s="60"/>
      <c r="G8" s="60"/>
      <c r="H8" s="21"/>
      <c r="J8" s="14"/>
    </row>
    <row r="9" spans="1:830" ht="15.75" thickBot="1" x14ac:dyDescent="0.3">
      <c r="H9" s="12"/>
      <c r="I9" s="20"/>
    </row>
    <row r="10" spans="1:830" s="26" customFormat="1" ht="51" customHeight="1" x14ac:dyDescent="0.25">
      <c r="A10" s="41" t="s">
        <v>1</v>
      </c>
      <c r="B10" s="94" t="s">
        <v>238</v>
      </c>
      <c r="C10" s="42" t="s">
        <v>2</v>
      </c>
      <c r="D10" s="56"/>
      <c r="E10" s="56" t="s">
        <v>148</v>
      </c>
      <c r="F10" s="42" t="s">
        <v>3</v>
      </c>
      <c r="G10" s="42" t="s">
        <v>149</v>
      </c>
      <c r="H10" s="42" t="s">
        <v>4</v>
      </c>
      <c r="I10" s="42" t="s">
        <v>5</v>
      </c>
      <c r="J10" s="42" t="s">
        <v>6</v>
      </c>
      <c r="K10" s="42" t="s">
        <v>7</v>
      </c>
      <c r="L10" s="42" t="s">
        <v>8</v>
      </c>
      <c r="M10" s="42" t="s">
        <v>201</v>
      </c>
      <c r="N10" s="42" t="s">
        <v>112</v>
      </c>
      <c r="O10" s="42" t="s">
        <v>9</v>
      </c>
      <c r="P10" s="43" t="s">
        <v>10</v>
      </c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</row>
    <row r="11" spans="1:830" s="28" customFormat="1" x14ac:dyDescent="0.25">
      <c r="A11" s="44">
        <v>1</v>
      </c>
      <c r="B11" s="50" t="s">
        <v>11</v>
      </c>
      <c r="C11" s="34" t="s">
        <v>130</v>
      </c>
      <c r="D11" s="57" t="s">
        <v>125</v>
      </c>
      <c r="E11" s="82" t="s">
        <v>145</v>
      </c>
      <c r="F11" s="7">
        <v>28</v>
      </c>
      <c r="G11" s="34" t="s">
        <v>150</v>
      </c>
      <c r="H11" s="4">
        <f>42499*2</f>
        <v>84998</v>
      </c>
      <c r="I11" s="4">
        <f>1601*2</f>
        <v>3202</v>
      </c>
      <c r="J11" s="4">
        <f>1119*2</f>
        <v>2238</v>
      </c>
      <c r="K11" s="4">
        <v>0</v>
      </c>
      <c r="L11" s="4">
        <v>0</v>
      </c>
      <c r="M11" s="4">
        <f>11633.75*2</f>
        <v>23267.5</v>
      </c>
      <c r="N11" s="4">
        <f>4887.39*2</f>
        <v>9774.7800000000007</v>
      </c>
      <c r="O11" s="34" t="s">
        <v>12</v>
      </c>
      <c r="P11" s="45" t="s">
        <v>13</v>
      </c>
    </row>
    <row r="12" spans="1:830" s="28" customFormat="1" x14ac:dyDescent="0.25">
      <c r="A12" s="44">
        <v>2</v>
      </c>
      <c r="B12" s="50" t="s">
        <v>11</v>
      </c>
      <c r="C12" s="34" t="s">
        <v>14</v>
      </c>
      <c r="D12" s="57" t="s">
        <v>126</v>
      </c>
      <c r="E12" s="82" t="s">
        <v>145</v>
      </c>
      <c r="F12" s="7">
        <v>17</v>
      </c>
      <c r="G12" s="34" t="s">
        <v>228</v>
      </c>
      <c r="H12" s="4">
        <f>12864.5*2</f>
        <v>25729</v>
      </c>
      <c r="I12" s="4">
        <f>643*2</f>
        <v>1286</v>
      </c>
      <c r="J12" s="4">
        <f>528.5*2</f>
        <v>1057</v>
      </c>
      <c r="K12" s="4">
        <v>0</v>
      </c>
      <c r="L12" s="4">
        <v>0</v>
      </c>
      <c r="M12" s="4">
        <f>2404.94*2</f>
        <v>4809.88</v>
      </c>
      <c r="N12" s="4">
        <f>1479.42*2</f>
        <v>2958.84</v>
      </c>
      <c r="O12" s="34" t="s">
        <v>28</v>
      </c>
      <c r="P12" s="45" t="s">
        <v>13</v>
      </c>
    </row>
    <row r="13" spans="1:830" s="28" customFormat="1" x14ac:dyDescent="0.25">
      <c r="A13" s="44">
        <v>3</v>
      </c>
      <c r="B13" s="50" t="s">
        <v>11</v>
      </c>
      <c r="C13" s="34" t="s">
        <v>18</v>
      </c>
      <c r="D13" s="57" t="s">
        <v>125</v>
      </c>
      <c r="E13" s="82" t="s">
        <v>146</v>
      </c>
      <c r="F13" s="7">
        <v>16</v>
      </c>
      <c r="G13" s="34" t="s">
        <v>151</v>
      </c>
      <c r="H13" s="4">
        <f>11416*2</f>
        <v>22832</v>
      </c>
      <c r="I13" s="4">
        <f>623.5*2</f>
        <v>1247</v>
      </c>
      <c r="J13" s="4">
        <f>499.5*2</f>
        <v>999</v>
      </c>
      <c r="K13" s="4">
        <v>0</v>
      </c>
      <c r="L13" s="4">
        <f>184.83*2</f>
        <v>369.66</v>
      </c>
      <c r="M13" s="4">
        <f>2096.32*2</f>
        <v>4192.6400000000003</v>
      </c>
      <c r="N13" s="4">
        <f>1334.1*2</f>
        <v>2668.2</v>
      </c>
      <c r="O13" s="34" t="s">
        <v>15</v>
      </c>
      <c r="P13" s="45" t="s">
        <v>13</v>
      </c>
    </row>
    <row r="14" spans="1:830" s="28" customFormat="1" x14ac:dyDescent="0.25">
      <c r="A14" s="44">
        <v>4</v>
      </c>
      <c r="B14" s="50" t="s">
        <v>16</v>
      </c>
      <c r="C14" s="34" t="s">
        <v>19</v>
      </c>
      <c r="D14" s="57" t="s">
        <v>126</v>
      </c>
      <c r="E14" s="82" t="s">
        <v>146</v>
      </c>
      <c r="F14" s="7">
        <v>11</v>
      </c>
      <c r="G14" s="34" t="s">
        <v>152</v>
      </c>
      <c r="H14" s="4">
        <f>7366.5*2</f>
        <v>14733</v>
      </c>
      <c r="I14" s="4">
        <f>546.5*2</f>
        <v>1093</v>
      </c>
      <c r="J14" s="4">
        <f>449.5*2</f>
        <v>899</v>
      </c>
      <c r="K14" s="4">
        <v>0</v>
      </c>
      <c r="L14" s="4">
        <f>123.22*2</f>
        <v>246.44</v>
      </c>
      <c r="M14" s="4">
        <f>1174.38*2</f>
        <v>2348.7600000000002</v>
      </c>
      <c r="N14" s="4">
        <f>847.15*2</f>
        <v>1694.3</v>
      </c>
      <c r="O14" s="34" t="s">
        <v>20</v>
      </c>
      <c r="P14" s="45" t="s">
        <v>13</v>
      </c>
    </row>
    <row r="15" spans="1:830" s="28" customFormat="1" x14ac:dyDescent="0.25">
      <c r="A15" s="44">
        <v>5</v>
      </c>
      <c r="B15" s="50" t="s">
        <v>16</v>
      </c>
      <c r="C15" s="34" t="s">
        <v>21</v>
      </c>
      <c r="D15" s="57" t="s">
        <v>126</v>
      </c>
      <c r="E15" s="82" t="s">
        <v>146</v>
      </c>
      <c r="F15" s="7">
        <v>11</v>
      </c>
      <c r="G15" s="34" t="s">
        <v>153</v>
      </c>
      <c r="H15" s="4">
        <f>7366.5*2</f>
        <v>14733</v>
      </c>
      <c r="I15" s="4">
        <f>546.5*2</f>
        <v>1093</v>
      </c>
      <c r="J15" s="4">
        <f>449.5*2</f>
        <v>899</v>
      </c>
      <c r="K15" s="4">
        <v>0</v>
      </c>
      <c r="L15" s="4">
        <f>123.22*2</f>
        <v>246.44</v>
      </c>
      <c r="M15" s="4">
        <f>1174.38*2</f>
        <v>2348.7600000000002</v>
      </c>
      <c r="N15" s="4">
        <f>847.15*2</f>
        <v>1694.3</v>
      </c>
      <c r="O15" s="34" t="s">
        <v>20</v>
      </c>
      <c r="P15" s="45" t="s">
        <v>13</v>
      </c>
    </row>
    <row r="16" spans="1:830" s="28" customFormat="1" x14ac:dyDescent="0.25">
      <c r="A16" s="44">
        <v>6</v>
      </c>
      <c r="B16" s="50" t="s">
        <v>16</v>
      </c>
      <c r="C16" s="34" t="s">
        <v>22</v>
      </c>
      <c r="D16" s="57" t="s">
        <v>126</v>
      </c>
      <c r="E16" s="82" t="s">
        <v>146</v>
      </c>
      <c r="F16" s="7">
        <v>11</v>
      </c>
      <c r="G16" s="34" t="s">
        <v>154</v>
      </c>
      <c r="H16" s="4">
        <f>7366.5*2</f>
        <v>14733</v>
      </c>
      <c r="I16" s="4">
        <f>546.5*2</f>
        <v>1093</v>
      </c>
      <c r="J16" s="4">
        <f>449.5*2</f>
        <v>899</v>
      </c>
      <c r="K16" s="4">
        <v>0</v>
      </c>
      <c r="L16" s="4">
        <f>123.22*2</f>
        <v>246.44</v>
      </c>
      <c r="M16" s="4">
        <f>1174.38*2</f>
        <v>2348.7600000000002</v>
      </c>
      <c r="N16" s="4">
        <f>847.15*2</f>
        <v>1694.3</v>
      </c>
      <c r="O16" s="34" t="s">
        <v>23</v>
      </c>
      <c r="P16" s="45" t="s">
        <v>13</v>
      </c>
    </row>
    <row r="17" spans="1:16" s="28" customFormat="1" x14ac:dyDescent="0.25">
      <c r="A17" s="44">
        <v>7</v>
      </c>
      <c r="B17" s="50" t="s">
        <v>11</v>
      </c>
      <c r="C17" s="34" t="s">
        <v>24</v>
      </c>
      <c r="D17" s="57" t="s">
        <v>126</v>
      </c>
      <c r="E17" s="82" t="s">
        <v>146</v>
      </c>
      <c r="F17" s="7">
        <v>17</v>
      </c>
      <c r="G17" s="34" t="s">
        <v>155</v>
      </c>
      <c r="H17" s="4">
        <f>12864.5*2</f>
        <v>25729</v>
      </c>
      <c r="I17" s="4">
        <f>643*2</f>
        <v>1286</v>
      </c>
      <c r="J17" s="4">
        <f>528.5*2</f>
        <v>1057</v>
      </c>
      <c r="K17" s="4">
        <v>0</v>
      </c>
      <c r="L17" s="4">
        <f>184.83*2</f>
        <v>369.66</v>
      </c>
      <c r="M17" s="4">
        <f>2448.41*2</f>
        <v>4896.82</v>
      </c>
      <c r="N17" s="4">
        <f>1500.67*2</f>
        <v>3001.34</v>
      </c>
      <c r="O17" s="34" t="s">
        <v>25</v>
      </c>
      <c r="P17" s="45" t="s">
        <v>13</v>
      </c>
    </row>
    <row r="18" spans="1:16" s="28" customFormat="1" x14ac:dyDescent="0.25">
      <c r="A18" s="44">
        <v>8</v>
      </c>
      <c r="B18" s="50" t="s">
        <v>16</v>
      </c>
      <c r="C18" s="34" t="s">
        <v>26</v>
      </c>
      <c r="D18" s="57" t="s">
        <v>126</v>
      </c>
      <c r="E18" s="82" t="s">
        <v>146</v>
      </c>
      <c r="F18" s="7">
        <v>11</v>
      </c>
      <c r="G18" s="34" t="s">
        <v>156</v>
      </c>
      <c r="H18" s="4">
        <f>7366.5*2</f>
        <v>14733</v>
      </c>
      <c r="I18" s="4">
        <f>546.5*2</f>
        <v>1093</v>
      </c>
      <c r="J18" s="4">
        <f>449.5*2</f>
        <v>899</v>
      </c>
      <c r="K18" s="4">
        <v>0</v>
      </c>
      <c r="L18" s="4">
        <f>246.44*2</f>
        <v>492.88</v>
      </c>
      <c r="M18" s="4">
        <f>1200.7*2</f>
        <v>2401.4</v>
      </c>
      <c r="N18" s="4">
        <f>875.49*2</f>
        <v>1750.98</v>
      </c>
      <c r="O18" s="34" t="s">
        <v>20</v>
      </c>
      <c r="P18" s="45" t="s">
        <v>13</v>
      </c>
    </row>
    <row r="19" spans="1:16" s="28" customFormat="1" x14ac:dyDescent="0.25">
      <c r="A19" s="44">
        <v>9</v>
      </c>
      <c r="B19" s="50" t="s">
        <v>11</v>
      </c>
      <c r="C19" s="34" t="s">
        <v>27</v>
      </c>
      <c r="D19" s="57" t="s">
        <v>126</v>
      </c>
      <c r="E19" s="82" t="s">
        <v>146</v>
      </c>
      <c r="F19" s="7">
        <v>17</v>
      </c>
      <c r="G19" s="34" t="s">
        <v>157</v>
      </c>
      <c r="H19" s="4">
        <f>12864.5*2</f>
        <v>25729</v>
      </c>
      <c r="I19" s="4">
        <f>643*2</f>
        <v>1286</v>
      </c>
      <c r="J19" s="4">
        <f>528.5*2</f>
        <v>1057</v>
      </c>
      <c r="K19" s="4">
        <v>0</v>
      </c>
      <c r="L19" s="4">
        <f>184.83*2</f>
        <v>369.66</v>
      </c>
      <c r="M19" s="4">
        <f>2448.41*2</f>
        <v>4896.82</v>
      </c>
      <c r="N19" s="4">
        <f>1500.67*2</f>
        <v>3001.34</v>
      </c>
      <c r="O19" s="34" t="s">
        <v>28</v>
      </c>
      <c r="P19" s="45" t="s">
        <v>13</v>
      </c>
    </row>
    <row r="20" spans="1:16" s="28" customFormat="1" x14ac:dyDescent="0.25">
      <c r="A20" s="44">
        <v>10</v>
      </c>
      <c r="B20" s="57" t="s">
        <v>16</v>
      </c>
      <c r="C20" s="34" t="s">
        <v>123</v>
      </c>
      <c r="D20" s="57" t="s">
        <v>125</v>
      </c>
      <c r="E20" s="82" t="s">
        <v>145</v>
      </c>
      <c r="F20" s="7">
        <v>11</v>
      </c>
      <c r="G20" s="34" t="s">
        <v>216</v>
      </c>
      <c r="H20" s="4">
        <f>7366.5*2</f>
        <v>14733</v>
      </c>
      <c r="I20" s="4">
        <f>546.5*2</f>
        <v>1093</v>
      </c>
      <c r="J20" s="32">
        <f>449.5*2</f>
        <v>899</v>
      </c>
      <c r="K20" s="32">
        <v>0</v>
      </c>
      <c r="L20" s="32">
        <v>0</v>
      </c>
      <c r="M20" s="4">
        <f>1148.06*2</f>
        <v>2296.12</v>
      </c>
      <c r="N20" s="4">
        <f>847.15*2</f>
        <v>1694.3</v>
      </c>
      <c r="O20" s="34" t="s">
        <v>119</v>
      </c>
      <c r="P20" s="45" t="s">
        <v>13</v>
      </c>
    </row>
    <row r="21" spans="1:16" s="28" customFormat="1" x14ac:dyDescent="0.25">
      <c r="A21" s="44">
        <v>11</v>
      </c>
      <c r="B21" s="50" t="s">
        <v>16</v>
      </c>
      <c r="C21" s="34" t="s">
        <v>29</v>
      </c>
      <c r="D21" s="57" t="s">
        <v>125</v>
      </c>
      <c r="E21" s="82" t="s">
        <v>146</v>
      </c>
      <c r="F21" s="7">
        <v>9</v>
      </c>
      <c r="G21" s="34" t="s">
        <v>204</v>
      </c>
      <c r="H21" s="4">
        <f>6843.5*2</f>
        <v>13687</v>
      </c>
      <c r="I21" s="4">
        <f>478.5*2</f>
        <v>957</v>
      </c>
      <c r="J21" s="4">
        <f>440.5*2</f>
        <v>881</v>
      </c>
      <c r="K21" s="4">
        <v>0</v>
      </c>
      <c r="L21" s="4">
        <f>308.05*2</f>
        <v>616.1</v>
      </c>
      <c r="M21" s="4">
        <f>1085.7*2</f>
        <v>2171.4</v>
      </c>
      <c r="N21" s="4">
        <f>822.43*2</f>
        <v>1644.86</v>
      </c>
      <c r="O21" s="34" t="s">
        <v>30</v>
      </c>
      <c r="P21" s="45" t="s">
        <v>13</v>
      </c>
    </row>
    <row r="22" spans="1:16" s="28" customFormat="1" x14ac:dyDescent="0.25">
      <c r="A22" s="44">
        <v>12</v>
      </c>
      <c r="B22" s="50" t="s">
        <v>16</v>
      </c>
      <c r="C22" s="34" t="s">
        <v>31</v>
      </c>
      <c r="D22" s="57" t="s">
        <v>125</v>
      </c>
      <c r="E22" s="82" t="s">
        <v>146</v>
      </c>
      <c r="F22" s="7">
        <v>11</v>
      </c>
      <c r="G22" s="34" t="s">
        <v>158</v>
      </c>
      <c r="H22" s="4">
        <f t="shared" ref="H22:H27" si="0">7366.5*2</f>
        <v>14733</v>
      </c>
      <c r="I22" s="4">
        <f t="shared" ref="I22:I27" si="1">546.5*2</f>
        <v>1093</v>
      </c>
      <c r="J22" s="4">
        <f t="shared" ref="J22:J27" si="2">449.5*2</f>
        <v>899</v>
      </c>
      <c r="K22" s="4">
        <v>0</v>
      </c>
      <c r="L22" s="4">
        <f>246.44*2</f>
        <v>492.88</v>
      </c>
      <c r="M22" s="4">
        <f>1200.7*2</f>
        <v>2401.4</v>
      </c>
      <c r="N22" s="4">
        <f>875.49*2</f>
        <v>1750.98</v>
      </c>
      <c r="O22" s="34" t="s">
        <v>23</v>
      </c>
      <c r="P22" s="45" t="s">
        <v>13</v>
      </c>
    </row>
    <row r="23" spans="1:16" s="28" customFormat="1" x14ac:dyDescent="0.25">
      <c r="A23" s="44">
        <v>13</v>
      </c>
      <c r="B23" s="50" t="s">
        <v>16</v>
      </c>
      <c r="C23" s="34" t="s">
        <v>32</v>
      </c>
      <c r="D23" s="57" t="s">
        <v>126</v>
      </c>
      <c r="E23" s="82" t="s">
        <v>146</v>
      </c>
      <c r="F23" s="7">
        <v>11</v>
      </c>
      <c r="G23" s="34" t="s">
        <v>159</v>
      </c>
      <c r="H23" s="4">
        <f t="shared" si="0"/>
        <v>14733</v>
      </c>
      <c r="I23" s="4">
        <f t="shared" si="1"/>
        <v>1093</v>
      </c>
      <c r="J23" s="4">
        <f t="shared" si="2"/>
        <v>899</v>
      </c>
      <c r="K23" s="4">
        <v>0</v>
      </c>
      <c r="L23" s="4">
        <f>246.44*2</f>
        <v>492.88</v>
      </c>
      <c r="M23" s="4">
        <f>1200.7*2</f>
        <v>2401.4</v>
      </c>
      <c r="N23" s="4">
        <f>875.49*2</f>
        <v>1750.98</v>
      </c>
      <c r="O23" s="34" t="s">
        <v>17</v>
      </c>
      <c r="P23" s="45" t="s">
        <v>13</v>
      </c>
    </row>
    <row r="24" spans="1:16" s="28" customFormat="1" x14ac:dyDescent="0.25">
      <c r="A24" s="44">
        <v>14</v>
      </c>
      <c r="B24" s="50" t="s">
        <v>16</v>
      </c>
      <c r="C24" s="34" t="s">
        <v>33</v>
      </c>
      <c r="D24" s="57" t="s">
        <v>126</v>
      </c>
      <c r="E24" s="82" t="s">
        <v>146</v>
      </c>
      <c r="F24" s="7">
        <v>11</v>
      </c>
      <c r="G24" s="34" t="s">
        <v>160</v>
      </c>
      <c r="H24" s="4">
        <f t="shared" si="0"/>
        <v>14733</v>
      </c>
      <c r="I24" s="4">
        <f t="shared" si="1"/>
        <v>1093</v>
      </c>
      <c r="J24" s="4">
        <f t="shared" si="2"/>
        <v>899</v>
      </c>
      <c r="K24" s="4">
        <v>0</v>
      </c>
      <c r="L24" s="4">
        <f>184.83*2</f>
        <v>369.66</v>
      </c>
      <c r="M24" s="4">
        <f>1187.54*2</f>
        <v>2375.08</v>
      </c>
      <c r="N24" s="4">
        <f>868.4*2</f>
        <v>1736.8</v>
      </c>
      <c r="O24" s="34" t="s">
        <v>20</v>
      </c>
      <c r="P24" s="45" t="s">
        <v>13</v>
      </c>
    </row>
    <row r="25" spans="1:16" s="28" customFormat="1" x14ac:dyDescent="0.25">
      <c r="A25" s="44">
        <v>15</v>
      </c>
      <c r="B25" s="50" t="s">
        <v>16</v>
      </c>
      <c r="C25" s="34" t="s">
        <v>136</v>
      </c>
      <c r="D25" s="57" t="s">
        <v>125</v>
      </c>
      <c r="E25" s="82" t="s">
        <v>147</v>
      </c>
      <c r="F25" s="7">
        <v>11</v>
      </c>
      <c r="G25" s="34" t="s">
        <v>224</v>
      </c>
      <c r="H25" s="4">
        <f t="shared" si="0"/>
        <v>14733</v>
      </c>
      <c r="I25" s="4">
        <f t="shared" si="1"/>
        <v>1093</v>
      </c>
      <c r="J25" s="4">
        <f t="shared" si="2"/>
        <v>899</v>
      </c>
      <c r="K25" s="4">
        <v>0</v>
      </c>
      <c r="L25" s="4">
        <v>0</v>
      </c>
      <c r="M25" s="4">
        <f>1148.06*2</f>
        <v>2296.12</v>
      </c>
      <c r="N25" s="4">
        <f>847.15*2</f>
        <v>1694.3</v>
      </c>
      <c r="O25" s="34" t="s">
        <v>23</v>
      </c>
      <c r="P25" s="45" t="s">
        <v>13</v>
      </c>
    </row>
    <row r="26" spans="1:16" s="28" customFormat="1" x14ac:dyDescent="0.25">
      <c r="A26" s="44">
        <v>16</v>
      </c>
      <c r="B26" s="50" t="s">
        <v>16</v>
      </c>
      <c r="C26" s="34" t="s">
        <v>141</v>
      </c>
      <c r="D26" s="57" t="s">
        <v>125</v>
      </c>
      <c r="E26" s="82" t="s">
        <v>145</v>
      </c>
      <c r="F26" s="7">
        <v>11</v>
      </c>
      <c r="G26" s="34" t="s">
        <v>210</v>
      </c>
      <c r="H26" s="4">
        <f t="shared" si="0"/>
        <v>14733</v>
      </c>
      <c r="I26" s="4">
        <f t="shared" si="1"/>
        <v>1093</v>
      </c>
      <c r="J26" s="4">
        <f t="shared" si="2"/>
        <v>899</v>
      </c>
      <c r="K26" s="4">
        <v>0</v>
      </c>
      <c r="L26" s="4">
        <v>0</v>
      </c>
      <c r="M26" s="4">
        <f>1148.06*2</f>
        <v>2296.12</v>
      </c>
      <c r="N26" s="4">
        <f>847.15*2</f>
        <v>1694.3</v>
      </c>
      <c r="O26" s="34" t="s">
        <v>119</v>
      </c>
      <c r="P26" s="45" t="s">
        <v>13</v>
      </c>
    </row>
    <row r="27" spans="1:16" s="28" customFormat="1" x14ac:dyDescent="0.25">
      <c r="A27" s="44">
        <v>17</v>
      </c>
      <c r="B27" s="50" t="s">
        <v>16</v>
      </c>
      <c r="C27" s="34" t="s">
        <v>34</v>
      </c>
      <c r="D27" s="57" t="s">
        <v>126</v>
      </c>
      <c r="E27" s="82" t="s">
        <v>146</v>
      </c>
      <c r="F27" s="7">
        <v>11</v>
      </c>
      <c r="G27" s="34" t="s">
        <v>161</v>
      </c>
      <c r="H27" s="4">
        <f t="shared" si="0"/>
        <v>14733</v>
      </c>
      <c r="I27" s="4">
        <f t="shared" si="1"/>
        <v>1093</v>
      </c>
      <c r="J27" s="4">
        <f t="shared" si="2"/>
        <v>899</v>
      </c>
      <c r="K27" s="4">
        <v>0</v>
      </c>
      <c r="L27" s="4">
        <f>184.83*2</f>
        <v>369.66</v>
      </c>
      <c r="M27" s="4">
        <f>1187.54*2</f>
        <v>2375.08</v>
      </c>
      <c r="N27" s="4">
        <f>868.4*2</f>
        <v>1736.8</v>
      </c>
      <c r="O27" s="34" t="s">
        <v>20</v>
      </c>
      <c r="P27" s="45" t="s">
        <v>13</v>
      </c>
    </row>
    <row r="28" spans="1:16" s="28" customFormat="1" x14ac:dyDescent="0.25">
      <c r="A28" s="44">
        <v>18</v>
      </c>
      <c r="B28" s="50" t="s">
        <v>11</v>
      </c>
      <c r="C28" s="34" t="s">
        <v>35</v>
      </c>
      <c r="D28" s="57" t="s">
        <v>126</v>
      </c>
      <c r="E28" s="82" t="s">
        <v>146</v>
      </c>
      <c r="F28" s="7">
        <v>16</v>
      </c>
      <c r="G28" s="34" t="s">
        <v>162</v>
      </c>
      <c r="H28" s="4">
        <f>11416*2</f>
        <v>22832</v>
      </c>
      <c r="I28" s="4">
        <f>623.5*2</f>
        <v>1247</v>
      </c>
      <c r="J28" s="4">
        <f>499.5*2</f>
        <v>999</v>
      </c>
      <c r="K28" s="4">
        <v>0</v>
      </c>
      <c r="L28" s="4">
        <f>184.83*2</f>
        <v>369.66</v>
      </c>
      <c r="M28" s="4">
        <f>2096.32*2</f>
        <v>4192.6400000000003</v>
      </c>
      <c r="N28" s="4">
        <f>1334.1*2</f>
        <v>2668.2</v>
      </c>
      <c r="O28" s="34" t="s">
        <v>15</v>
      </c>
      <c r="P28" s="45" t="s">
        <v>13</v>
      </c>
    </row>
    <row r="29" spans="1:16" s="28" customFormat="1" x14ac:dyDescent="0.25">
      <c r="A29" s="44">
        <v>19</v>
      </c>
      <c r="B29" s="50" t="s">
        <v>11</v>
      </c>
      <c r="C29" s="34" t="s">
        <v>36</v>
      </c>
      <c r="D29" s="57" t="s">
        <v>125</v>
      </c>
      <c r="E29" s="82" t="s">
        <v>146</v>
      </c>
      <c r="F29" s="7">
        <v>17</v>
      </c>
      <c r="G29" s="34" t="s">
        <v>163</v>
      </c>
      <c r="H29" s="4">
        <f>12864.5*2</f>
        <v>25729</v>
      </c>
      <c r="I29" s="4">
        <f>643*2</f>
        <v>1286</v>
      </c>
      <c r="J29" s="4">
        <f>528.5*2</f>
        <v>1057</v>
      </c>
      <c r="K29" s="4">
        <v>0</v>
      </c>
      <c r="L29" s="4">
        <f>246.44*2</f>
        <v>492.88</v>
      </c>
      <c r="M29" s="4">
        <f>2462.9*2</f>
        <v>4925.8</v>
      </c>
      <c r="N29" s="4">
        <f>1507.76*2</f>
        <v>3015.52</v>
      </c>
      <c r="O29" s="34" t="s">
        <v>28</v>
      </c>
      <c r="P29" s="45" t="s">
        <v>13</v>
      </c>
    </row>
    <row r="30" spans="1:16" s="28" customFormat="1" x14ac:dyDescent="0.25">
      <c r="A30" s="44">
        <v>20</v>
      </c>
      <c r="B30" s="50" t="s">
        <v>11</v>
      </c>
      <c r="C30" s="34" t="s">
        <v>142</v>
      </c>
      <c r="D30" s="57" t="s">
        <v>126</v>
      </c>
      <c r="E30" s="82" t="s">
        <v>147</v>
      </c>
      <c r="F30" s="7">
        <v>11</v>
      </c>
      <c r="G30" s="34" t="s">
        <v>205</v>
      </c>
      <c r="H30" s="4">
        <f>7366.5*2</f>
        <v>14733</v>
      </c>
      <c r="I30" s="4">
        <f>546.5*2</f>
        <v>1093</v>
      </c>
      <c r="J30" s="4">
        <f>449.5*2</f>
        <v>899</v>
      </c>
      <c r="K30" s="4">
        <v>0</v>
      </c>
      <c r="L30" s="4">
        <v>0</v>
      </c>
      <c r="M30" s="4">
        <f>1148.06*2</f>
        <v>2296.12</v>
      </c>
      <c r="N30" s="4">
        <f>847.15*2</f>
        <v>1694.3</v>
      </c>
      <c r="O30" s="34" t="s">
        <v>114</v>
      </c>
      <c r="P30" s="45" t="s">
        <v>115</v>
      </c>
    </row>
    <row r="31" spans="1:16" s="28" customFormat="1" x14ac:dyDescent="0.25">
      <c r="A31" s="44">
        <v>21</v>
      </c>
      <c r="B31" s="50" t="s">
        <v>11</v>
      </c>
      <c r="C31" s="34" t="s">
        <v>37</v>
      </c>
      <c r="D31" s="57" t="s">
        <v>125</v>
      </c>
      <c r="E31" s="82" t="s">
        <v>146</v>
      </c>
      <c r="F31" s="7">
        <v>17</v>
      </c>
      <c r="G31" s="34" t="s">
        <v>164</v>
      </c>
      <c r="H31" s="4">
        <f>12864.5*2</f>
        <v>25729</v>
      </c>
      <c r="I31" s="4">
        <f>643*2</f>
        <v>1286</v>
      </c>
      <c r="J31" s="4">
        <f>528.5*2</f>
        <v>1057</v>
      </c>
      <c r="K31" s="4">
        <v>0</v>
      </c>
      <c r="L31" s="4">
        <f>184.83*2</f>
        <v>369.66</v>
      </c>
      <c r="M31" s="4">
        <f>2448.41*2</f>
        <v>4896.82</v>
      </c>
      <c r="N31" s="4">
        <f>1500.67*2</f>
        <v>3001.34</v>
      </c>
      <c r="O31" s="34" t="s">
        <v>28</v>
      </c>
      <c r="P31" s="45" t="s">
        <v>13</v>
      </c>
    </row>
    <row r="32" spans="1:16" s="28" customFormat="1" x14ac:dyDescent="0.25">
      <c r="A32" s="44">
        <v>22</v>
      </c>
      <c r="B32" s="50" t="s">
        <v>11</v>
      </c>
      <c r="C32" s="34" t="s">
        <v>38</v>
      </c>
      <c r="D32" s="57" t="s">
        <v>126</v>
      </c>
      <c r="E32" s="82" t="s">
        <v>147</v>
      </c>
      <c r="F32" s="7">
        <v>17</v>
      </c>
      <c r="G32" s="34" t="s">
        <v>229</v>
      </c>
      <c r="H32" s="4">
        <f>12864.5*2</f>
        <v>25729</v>
      </c>
      <c r="I32" s="4">
        <f>643*2</f>
        <v>1286</v>
      </c>
      <c r="J32" s="4">
        <f>528.5*2</f>
        <v>1057</v>
      </c>
      <c r="K32" s="4">
        <v>0</v>
      </c>
      <c r="L32" s="4">
        <f>246.44*2</f>
        <v>492.88</v>
      </c>
      <c r="M32" s="4">
        <f>2462.9*2</f>
        <v>4925.8</v>
      </c>
      <c r="N32" s="4">
        <f>1507.76*2</f>
        <v>3015.52</v>
      </c>
      <c r="O32" s="34" t="s">
        <v>28</v>
      </c>
      <c r="P32" s="45" t="s">
        <v>13</v>
      </c>
    </row>
    <row r="33" spans="1:16" s="28" customFormat="1" x14ac:dyDescent="0.25">
      <c r="A33" s="44">
        <v>23</v>
      </c>
      <c r="B33" s="50" t="s">
        <v>16</v>
      </c>
      <c r="C33" s="34" t="s">
        <v>40</v>
      </c>
      <c r="D33" s="57" t="s">
        <v>126</v>
      </c>
      <c r="E33" s="82" t="s">
        <v>146</v>
      </c>
      <c r="F33" s="7">
        <v>11</v>
      </c>
      <c r="G33" s="34" t="s">
        <v>165</v>
      </c>
      <c r="H33" s="4">
        <f>7366.5*2</f>
        <v>14733</v>
      </c>
      <c r="I33" s="4">
        <f>546.5*2</f>
        <v>1093</v>
      </c>
      <c r="J33" s="4">
        <f>449.5*2</f>
        <v>899</v>
      </c>
      <c r="K33" s="4">
        <v>0</v>
      </c>
      <c r="L33" s="4">
        <f>123.22*2</f>
        <v>246.44</v>
      </c>
      <c r="M33" s="4">
        <f>1174.38*2</f>
        <v>2348.7600000000002</v>
      </c>
      <c r="N33" s="4">
        <f>847.15*2</f>
        <v>1694.3</v>
      </c>
      <c r="O33" s="34" t="s">
        <v>20</v>
      </c>
      <c r="P33" s="45" t="s">
        <v>13</v>
      </c>
    </row>
    <row r="34" spans="1:16" s="28" customFormat="1" x14ac:dyDescent="0.25">
      <c r="A34" s="44">
        <v>24</v>
      </c>
      <c r="B34" s="50" t="s">
        <v>11</v>
      </c>
      <c r="C34" s="34" t="s">
        <v>144</v>
      </c>
      <c r="D34" s="57" t="s">
        <v>126</v>
      </c>
      <c r="E34" s="82" t="s">
        <v>145</v>
      </c>
      <c r="F34" s="7">
        <v>17</v>
      </c>
      <c r="G34" s="34" t="s">
        <v>230</v>
      </c>
      <c r="H34" s="4">
        <f>12864.5*2</f>
        <v>25729</v>
      </c>
      <c r="I34" s="4">
        <f>643*2</f>
        <v>1286</v>
      </c>
      <c r="J34" s="4">
        <f>528.5*2</f>
        <v>1057</v>
      </c>
      <c r="K34" s="4">
        <v>0</v>
      </c>
      <c r="L34" s="4">
        <v>0</v>
      </c>
      <c r="M34" s="4">
        <f>2404.94*2</f>
        <v>4809.88</v>
      </c>
      <c r="N34" s="4">
        <f>1479.42*2</f>
        <v>2958.84</v>
      </c>
      <c r="O34" s="34" t="s">
        <v>28</v>
      </c>
      <c r="P34" s="45" t="s">
        <v>13</v>
      </c>
    </row>
    <row r="35" spans="1:16" s="28" customFormat="1" x14ac:dyDescent="0.25">
      <c r="A35" s="44">
        <v>25</v>
      </c>
      <c r="B35" s="50" t="s">
        <v>16</v>
      </c>
      <c r="C35" s="34" t="s">
        <v>41</v>
      </c>
      <c r="D35" s="57" t="s">
        <v>126</v>
      </c>
      <c r="E35" s="82" t="s">
        <v>146</v>
      </c>
      <c r="F35" s="7">
        <v>11</v>
      </c>
      <c r="G35" s="34" t="s">
        <v>166</v>
      </c>
      <c r="H35" s="4">
        <f>7366.5*2</f>
        <v>14733</v>
      </c>
      <c r="I35" s="4">
        <f>546.5*2</f>
        <v>1093</v>
      </c>
      <c r="J35" s="4">
        <f>449.5*2</f>
        <v>899</v>
      </c>
      <c r="K35" s="4">
        <v>0</v>
      </c>
      <c r="L35" s="4">
        <f>308.05*2</f>
        <v>616.1</v>
      </c>
      <c r="M35" s="4">
        <f>1213.86*2</f>
        <v>2427.7199999999998</v>
      </c>
      <c r="N35" s="4">
        <f>882.57*2</f>
        <v>1765.14</v>
      </c>
      <c r="O35" s="34" t="s">
        <v>20</v>
      </c>
      <c r="P35" s="45" t="s">
        <v>13</v>
      </c>
    </row>
    <row r="36" spans="1:16" s="28" customFormat="1" x14ac:dyDescent="0.25">
      <c r="A36" s="44">
        <v>26</v>
      </c>
      <c r="B36" s="50" t="s">
        <v>11</v>
      </c>
      <c r="C36" s="34" t="s">
        <v>42</v>
      </c>
      <c r="D36" s="57" t="s">
        <v>126</v>
      </c>
      <c r="E36" s="82" t="s">
        <v>146</v>
      </c>
      <c r="F36" s="7">
        <v>16</v>
      </c>
      <c r="G36" s="34" t="s">
        <v>167</v>
      </c>
      <c r="H36" s="4">
        <f>11416*2</f>
        <v>22832</v>
      </c>
      <c r="I36" s="4">
        <f>623.5*2</f>
        <v>1247</v>
      </c>
      <c r="J36" s="4">
        <f>499.5*2</f>
        <v>999</v>
      </c>
      <c r="K36" s="4">
        <v>0</v>
      </c>
      <c r="L36" s="4">
        <f>308.05*2</f>
        <v>616.1</v>
      </c>
      <c r="M36" s="4">
        <f>2125.3*2</f>
        <v>4250.6000000000004</v>
      </c>
      <c r="N36" s="4">
        <f>1348.27*2</f>
        <v>2696.54</v>
      </c>
      <c r="O36" s="34" t="s">
        <v>15</v>
      </c>
      <c r="P36" s="45" t="s">
        <v>13</v>
      </c>
    </row>
    <row r="37" spans="1:16" s="28" customFormat="1" x14ac:dyDescent="0.25">
      <c r="A37" s="44">
        <v>27</v>
      </c>
      <c r="B37" s="57" t="s">
        <v>16</v>
      </c>
      <c r="C37" s="34" t="s">
        <v>128</v>
      </c>
      <c r="D37" s="57" t="s">
        <v>126</v>
      </c>
      <c r="E37" s="82" t="s">
        <v>145</v>
      </c>
      <c r="F37" s="7">
        <v>8</v>
      </c>
      <c r="G37" s="34" t="s">
        <v>206</v>
      </c>
      <c r="H37" s="4">
        <f>6503*2</f>
        <v>13006</v>
      </c>
      <c r="I37" s="32">
        <f>470.5*2</f>
        <v>941</v>
      </c>
      <c r="J37" s="32">
        <f>432.5*2</f>
        <v>865</v>
      </c>
      <c r="K37" s="32">
        <v>0</v>
      </c>
      <c r="L37" s="32">
        <v>0</v>
      </c>
      <c r="M37" s="4">
        <f>943.75*2</f>
        <v>1887.5</v>
      </c>
      <c r="N37" s="4">
        <f>747.85*2</f>
        <v>1495.7</v>
      </c>
      <c r="O37" s="34" t="s">
        <v>116</v>
      </c>
      <c r="P37" s="45" t="s">
        <v>13</v>
      </c>
    </row>
    <row r="38" spans="1:16" s="28" customFormat="1" x14ac:dyDescent="0.25">
      <c r="A38" s="44">
        <v>28</v>
      </c>
      <c r="B38" s="50" t="s">
        <v>16</v>
      </c>
      <c r="C38" s="34" t="s">
        <v>43</v>
      </c>
      <c r="D38" s="57" t="s">
        <v>126</v>
      </c>
      <c r="E38" s="82" t="s">
        <v>146</v>
      </c>
      <c r="F38" s="7">
        <v>11</v>
      </c>
      <c r="G38" s="34" t="s">
        <v>168</v>
      </c>
      <c r="H38" s="4">
        <f>7366.5*2</f>
        <v>14733</v>
      </c>
      <c r="I38" s="4">
        <f>546.5*2</f>
        <v>1093</v>
      </c>
      <c r="J38" s="4">
        <f>449.5*2</f>
        <v>899</v>
      </c>
      <c r="K38" s="4">
        <v>0</v>
      </c>
      <c r="L38" s="4">
        <f>123.22*2</f>
        <v>246.44</v>
      </c>
      <c r="M38" s="4">
        <f>1174.38*2</f>
        <v>2348.7600000000002</v>
      </c>
      <c r="N38" s="4">
        <f>847.15*2</f>
        <v>1694.3</v>
      </c>
      <c r="O38" s="34" t="s">
        <v>17</v>
      </c>
      <c r="P38" s="45" t="s">
        <v>13</v>
      </c>
    </row>
    <row r="39" spans="1:16" s="29" customFormat="1" x14ac:dyDescent="0.25">
      <c r="A39" s="44">
        <v>29</v>
      </c>
      <c r="B39" s="50" t="s">
        <v>11</v>
      </c>
      <c r="C39" s="37" t="s">
        <v>44</v>
      </c>
      <c r="D39" s="85" t="s">
        <v>126</v>
      </c>
      <c r="E39" s="82" t="s">
        <v>147</v>
      </c>
      <c r="F39" s="85">
        <v>16</v>
      </c>
      <c r="G39" s="81" t="s">
        <v>220</v>
      </c>
      <c r="H39" s="31">
        <f>11416*2</f>
        <v>22832</v>
      </c>
      <c r="I39" s="31">
        <f>623.5*2</f>
        <v>1247</v>
      </c>
      <c r="J39" s="31">
        <f>499.5*2</f>
        <v>999</v>
      </c>
      <c r="K39" s="31">
        <v>0</v>
      </c>
      <c r="L39" s="31">
        <f>123.22*2</f>
        <v>246.44</v>
      </c>
      <c r="M39" s="31">
        <f>2081.83*2</f>
        <v>4163.66</v>
      </c>
      <c r="N39" s="31">
        <f>1312.84*2</f>
        <v>2625.68</v>
      </c>
      <c r="O39" s="37" t="s">
        <v>15</v>
      </c>
      <c r="P39" s="46" t="s">
        <v>13</v>
      </c>
    </row>
    <row r="40" spans="1:16" s="29" customFormat="1" x14ac:dyDescent="0.25">
      <c r="A40" s="44">
        <v>30</v>
      </c>
      <c r="B40" s="50" t="s">
        <v>16</v>
      </c>
      <c r="C40" s="37" t="s">
        <v>138</v>
      </c>
      <c r="D40" s="85" t="s">
        <v>126</v>
      </c>
      <c r="E40" s="82" t="s">
        <v>145</v>
      </c>
      <c r="F40" s="85">
        <v>8</v>
      </c>
      <c r="G40" s="81" t="s">
        <v>207</v>
      </c>
      <c r="H40" s="31">
        <f>6503*2</f>
        <v>13006</v>
      </c>
      <c r="I40" s="31">
        <f>470.5*2</f>
        <v>941</v>
      </c>
      <c r="J40" s="31">
        <f>432.5*2</f>
        <v>865</v>
      </c>
      <c r="K40" s="31">
        <v>0</v>
      </c>
      <c r="L40" s="31">
        <v>0</v>
      </c>
      <c r="M40" s="31">
        <f>943.75*2</f>
        <v>1887.5</v>
      </c>
      <c r="N40" s="31">
        <f>747.85*2</f>
        <v>1495.7</v>
      </c>
      <c r="O40" s="37" t="s">
        <v>63</v>
      </c>
      <c r="P40" s="46" t="s">
        <v>139</v>
      </c>
    </row>
    <row r="41" spans="1:16" s="28" customFormat="1" x14ac:dyDescent="0.25">
      <c r="A41" s="44">
        <v>31</v>
      </c>
      <c r="B41" s="50" t="s">
        <v>16</v>
      </c>
      <c r="C41" s="34" t="s">
        <v>45</v>
      </c>
      <c r="D41" s="57" t="s">
        <v>126</v>
      </c>
      <c r="E41" s="82" t="s">
        <v>146</v>
      </c>
      <c r="F41" s="7">
        <v>11</v>
      </c>
      <c r="G41" s="81" t="s">
        <v>169</v>
      </c>
      <c r="H41" s="4">
        <f>7366.5*2</f>
        <v>14733</v>
      </c>
      <c r="I41" s="4">
        <f>546.5*2</f>
        <v>1093</v>
      </c>
      <c r="J41" s="4">
        <f>449.5*2</f>
        <v>899</v>
      </c>
      <c r="K41" s="4">
        <v>0</v>
      </c>
      <c r="L41" s="4">
        <f>184.83*2</f>
        <v>369.66</v>
      </c>
      <c r="M41" s="4">
        <f>1187.54*2</f>
        <v>2375.08</v>
      </c>
      <c r="N41" s="4">
        <f>868.4*2</f>
        <v>1736.8</v>
      </c>
      <c r="O41" s="34" t="s">
        <v>20</v>
      </c>
      <c r="P41" s="45" t="s">
        <v>13</v>
      </c>
    </row>
    <row r="42" spans="1:16" s="28" customFormat="1" x14ac:dyDescent="0.25">
      <c r="A42" s="44">
        <v>32</v>
      </c>
      <c r="B42" s="50" t="s">
        <v>16</v>
      </c>
      <c r="C42" s="34" t="s">
        <v>46</v>
      </c>
      <c r="D42" s="57" t="s">
        <v>126</v>
      </c>
      <c r="E42" s="82" t="s">
        <v>146</v>
      </c>
      <c r="F42" s="7">
        <v>11</v>
      </c>
      <c r="G42" s="81" t="s">
        <v>170</v>
      </c>
      <c r="H42" s="4">
        <f>7366.5*2</f>
        <v>14733</v>
      </c>
      <c r="I42" s="4">
        <f>546.5*2</f>
        <v>1093</v>
      </c>
      <c r="J42" s="4">
        <f>449.5*2</f>
        <v>899</v>
      </c>
      <c r="K42" s="4">
        <v>0</v>
      </c>
      <c r="L42" s="4">
        <f>184.83*2</f>
        <v>369.66</v>
      </c>
      <c r="M42" s="4">
        <f>1187.54*2</f>
        <v>2375.08</v>
      </c>
      <c r="N42" s="4">
        <f>868.4*2</f>
        <v>1736.8</v>
      </c>
      <c r="O42" s="34" t="s">
        <v>20</v>
      </c>
      <c r="P42" s="45" t="s">
        <v>13</v>
      </c>
    </row>
    <row r="43" spans="1:16" s="28" customFormat="1" x14ac:dyDescent="0.25">
      <c r="A43" s="44">
        <v>33</v>
      </c>
      <c r="B43" s="50" t="s">
        <v>11</v>
      </c>
      <c r="C43" s="34" t="s">
        <v>47</v>
      </c>
      <c r="D43" s="57" t="s">
        <v>125</v>
      </c>
      <c r="E43" s="82" t="s">
        <v>145</v>
      </c>
      <c r="F43" s="7">
        <v>11</v>
      </c>
      <c r="G43" s="81" t="s">
        <v>225</v>
      </c>
      <c r="H43" s="4">
        <f>7366.5*2</f>
        <v>14733</v>
      </c>
      <c r="I43" s="4">
        <f>546.5*2</f>
        <v>1093</v>
      </c>
      <c r="J43" s="4">
        <f>449.5*2</f>
        <v>899</v>
      </c>
      <c r="K43" s="4">
        <v>0</v>
      </c>
      <c r="L43" s="4">
        <v>0</v>
      </c>
      <c r="M43" s="4">
        <f>1148.06*2</f>
        <v>2296.12</v>
      </c>
      <c r="N43" s="4">
        <f>847.15*2</f>
        <v>1694.3</v>
      </c>
      <c r="O43" s="34" t="s">
        <v>120</v>
      </c>
      <c r="P43" s="45" t="s">
        <v>13</v>
      </c>
    </row>
    <row r="44" spans="1:16" s="28" customFormat="1" x14ac:dyDescent="0.25">
      <c r="A44" s="44">
        <v>34</v>
      </c>
      <c r="B44" s="50" t="s">
        <v>11</v>
      </c>
      <c r="C44" s="34" t="s">
        <v>48</v>
      </c>
      <c r="D44" s="57" t="s">
        <v>125</v>
      </c>
      <c r="E44" s="82" t="s">
        <v>145</v>
      </c>
      <c r="F44" s="7">
        <v>11</v>
      </c>
      <c r="G44" s="81" t="s">
        <v>231</v>
      </c>
      <c r="H44" s="4">
        <f>7366.5*2</f>
        <v>14733</v>
      </c>
      <c r="I44" s="4">
        <f>546.5*2</f>
        <v>1093</v>
      </c>
      <c r="J44" s="4">
        <f>449.5*2</f>
        <v>899</v>
      </c>
      <c r="K44" s="4">
        <v>0</v>
      </c>
      <c r="L44" s="4">
        <v>0</v>
      </c>
      <c r="M44" s="4">
        <f>1148.06*2</f>
        <v>2296.12</v>
      </c>
      <c r="N44" s="4">
        <f>847.15*2</f>
        <v>1694.3</v>
      </c>
      <c r="O44" s="34" t="s">
        <v>20</v>
      </c>
      <c r="P44" s="45" t="s">
        <v>13</v>
      </c>
    </row>
    <row r="45" spans="1:16" s="28" customFormat="1" x14ac:dyDescent="0.25">
      <c r="A45" s="44">
        <v>35</v>
      </c>
      <c r="B45" s="50" t="s">
        <v>11</v>
      </c>
      <c r="C45" s="34" t="s">
        <v>49</v>
      </c>
      <c r="D45" s="57" t="s">
        <v>126</v>
      </c>
      <c r="E45" s="82" t="s">
        <v>147</v>
      </c>
      <c r="F45" s="7">
        <v>16</v>
      </c>
      <c r="G45" s="81" t="s">
        <v>221</v>
      </c>
      <c r="H45" s="4">
        <f>11416*2</f>
        <v>22832</v>
      </c>
      <c r="I45" s="4">
        <f>623.5*2</f>
        <v>1247</v>
      </c>
      <c r="J45" s="4">
        <f>499.5*2</f>
        <v>999</v>
      </c>
      <c r="K45" s="4">
        <v>0</v>
      </c>
      <c r="L45" s="4">
        <v>0</v>
      </c>
      <c r="M45" s="4">
        <f>2052.85*2</f>
        <v>4105.7</v>
      </c>
      <c r="N45" s="4">
        <f>1312.84*2</f>
        <v>2625.68</v>
      </c>
      <c r="O45" s="34" t="s">
        <v>15</v>
      </c>
      <c r="P45" s="45" t="s">
        <v>13</v>
      </c>
    </row>
    <row r="46" spans="1:16" s="28" customFormat="1" x14ac:dyDescent="0.25">
      <c r="A46" s="44">
        <v>36</v>
      </c>
      <c r="B46" s="50" t="s">
        <v>11</v>
      </c>
      <c r="C46" s="34" t="s">
        <v>50</v>
      </c>
      <c r="D46" s="57" t="s">
        <v>126</v>
      </c>
      <c r="E46" s="82" t="s">
        <v>147</v>
      </c>
      <c r="F46" s="7">
        <v>22</v>
      </c>
      <c r="G46" s="81" t="s">
        <v>222</v>
      </c>
      <c r="H46" s="4">
        <f>21109.5*2</f>
        <v>42219</v>
      </c>
      <c r="I46" s="4">
        <f>932.5*2</f>
        <v>1865</v>
      </c>
      <c r="J46" s="4">
        <f>672.5*2</f>
        <v>1345</v>
      </c>
      <c r="K46" s="4">
        <v>0</v>
      </c>
      <c r="L46" s="4">
        <f>184.83*2</f>
        <v>369.66</v>
      </c>
      <c r="M46" s="4">
        <f>4752.77*2</f>
        <v>9505.5400000000009</v>
      </c>
      <c r="N46" s="4">
        <f>2448.85*2</f>
        <v>4897.7</v>
      </c>
      <c r="O46" s="34" t="s">
        <v>39</v>
      </c>
      <c r="P46" s="45" t="s">
        <v>13</v>
      </c>
    </row>
    <row r="47" spans="1:16" s="28" customFormat="1" x14ac:dyDescent="0.25">
      <c r="A47" s="44">
        <v>37</v>
      </c>
      <c r="B47" s="50" t="s">
        <v>11</v>
      </c>
      <c r="C47" s="86" t="s">
        <v>127</v>
      </c>
      <c r="D47" s="50" t="s">
        <v>126</v>
      </c>
      <c r="E47" s="82" t="s">
        <v>145</v>
      </c>
      <c r="F47" s="7">
        <v>22</v>
      </c>
      <c r="G47" s="81" t="s">
        <v>213</v>
      </c>
      <c r="H47" s="4">
        <f>21109.5*2</f>
        <v>42219</v>
      </c>
      <c r="I47" s="4">
        <f>932.5*2</f>
        <v>1865</v>
      </c>
      <c r="J47" s="4">
        <f>672.5*2</f>
        <v>1345</v>
      </c>
      <c r="K47" s="4">
        <v>0</v>
      </c>
      <c r="L47" s="4">
        <f>123.22*2</f>
        <v>246.44</v>
      </c>
      <c r="M47" s="4">
        <f>4734.29*2</f>
        <v>9468.58</v>
      </c>
      <c r="N47" s="4">
        <f>2441.76*2</f>
        <v>4883.5200000000004</v>
      </c>
      <c r="O47" s="34" t="s">
        <v>39</v>
      </c>
      <c r="P47" s="45" t="s">
        <v>13</v>
      </c>
    </row>
    <row r="48" spans="1:16" s="28" customFormat="1" x14ac:dyDescent="0.25">
      <c r="A48" s="44">
        <v>38</v>
      </c>
      <c r="B48" s="50" t="s">
        <v>11</v>
      </c>
      <c r="C48" s="37" t="s">
        <v>237</v>
      </c>
      <c r="D48" s="85" t="s">
        <v>126</v>
      </c>
      <c r="E48" s="82" t="s">
        <v>145</v>
      </c>
      <c r="F48" s="85">
        <v>16</v>
      </c>
      <c r="G48" s="34" t="s">
        <v>235</v>
      </c>
      <c r="H48" s="31">
        <f>11416*2</f>
        <v>22832</v>
      </c>
      <c r="I48" s="31">
        <f>623.5*2</f>
        <v>1247</v>
      </c>
      <c r="J48" s="31">
        <f>499.5*2</f>
        <v>999</v>
      </c>
      <c r="K48" s="31">
        <v>0</v>
      </c>
      <c r="L48" s="31">
        <v>0</v>
      </c>
      <c r="M48" s="31">
        <f>2052.85*2</f>
        <v>4105.7</v>
      </c>
      <c r="N48" s="31">
        <f>1312.84*2</f>
        <v>2625.68</v>
      </c>
      <c r="O48" s="37" t="s">
        <v>15</v>
      </c>
      <c r="P48" s="46" t="s">
        <v>13</v>
      </c>
    </row>
    <row r="49" spans="1:16" s="28" customFormat="1" x14ac:dyDescent="0.25">
      <c r="A49" s="44">
        <v>39</v>
      </c>
      <c r="B49" s="50" t="s">
        <v>16</v>
      </c>
      <c r="C49" s="34" t="s">
        <v>51</v>
      </c>
      <c r="D49" s="57" t="s">
        <v>126</v>
      </c>
      <c r="E49" s="82" t="s">
        <v>146</v>
      </c>
      <c r="F49" s="7">
        <v>11</v>
      </c>
      <c r="G49" s="81" t="s">
        <v>171</v>
      </c>
      <c r="H49" s="4">
        <f>7366.5*2</f>
        <v>14733</v>
      </c>
      <c r="I49" s="4">
        <f>546.5*2</f>
        <v>1093</v>
      </c>
      <c r="J49" s="4">
        <f>449.5*2</f>
        <v>899</v>
      </c>
      <c r="K49" s="4">
        <v>0</v>
      </c>
      <c r="L49" s="4">
        <f>246.44*2</f>
        <v>492.88</v>
      </c>
      <c r="M49" s="4">
        <f>1200.7*2</f>
        <v>2401.4</v>
      </c>
      <c r="N49" s="4">
        <f>875.49*2</f>
        <v>1750.98</v>
      </c>
      <c r="O49" s="34" t="s">
        <v>20</v>
      </c>
      <c r="P49" s="45" t="s">
        <v>13</v>
      </c>
    </row>
    <row r="50" spans="1:16" s="28" customFormat="1" x14ac:dyDescent="0.25">
      <c r="A50" s="44">
        <v>40</v>
      </c>
      <c r="B50" s="50" t="s">
        <v>11</v>
      </c>
      <c r="C50" s="34" t="s">
        <v>140</v>
      </c>
      <c r="D50" s="57" t="s">
        <v>126</v>
      </c>
      <c r="E50" s="82" t="s">
        <v>145</v>
      </c>
      <c r="F50" s="7">
        <v>11</v>
      </c>
      <c r="G50" s="81" t="s">
        <v>223</v>
      </c>
      <c r="H50" s="4">
        <f>7366.5*2</f>
        <v>14733</v>
      </c>
      <c r="I50" s="4">
        <f>546.5*2</f>
        <v>1093</v>
      </c>
      <c r="J50" s="4">
        <f>449.5*2</f>
        <v>899</v>
      </c>
      <c r="K50" s="4">
        <v>0</v>
      </c>
      <c r="L50" s="4">
        <v>0</v>
      </c>
      <c r="M50" s="4">
        <f>1148.06*2</f>
        <v>2296.12</v>
      </c>
      <c r="N50" s="4">
        <f>847.15*2</f>
        <v>1694.3</v>
      </c>
      <c r="O50" s="34" t="s">
        <v>17</v>
      </c>
      <c r="P50" s="45" t="s">
        <v>13</v>
      </c>
    </row>
    <row r="51" spans="1:16" s="28" customFormat="1" x14ac:dyDescent="0.25">
      <c r="A51" s="44">
        <v>41</v>
      </c>
      <c r="B51" s="50" t="s">
        <v>11</v>
      </c>
      <c r="C51" s="34" t="s">
        <v>52</v>
      </c>
      <c r="D51" s="57" t="s">
        <v>125</v>
      </c>
      <c r="E51" s="82" t="s">
        <v>145</v>
      </c>
      <c r="F51" s="7">
        <v>28</v>
      </c>
      <c r="G51" s="81" t="s">
        <v>202</v>
      </c>
      <c r="H51" s="4">
        <f>42499*2</f>
        <v>84998</v>
      </c>
      <c r="I51" s="4">
        <f>1601*2</f>
        <v>3202</v>
      </c>
      <c r="J51" s="4">
        <f>1119*2</f>
        <v>2238</v>
      </c>
      <c r="K51" s="4">
        <v>0</v>
      </c>
      <c r="L51" s="4">
        <v>0</v>
      </c>
      <c r="M51" s="4">
        <f>11633.75*2</f>
        <v>23267.5</v>
      </c>
      <c r="N51" s="4">
        <f>4887.39*2</f>
        <v>9774.7800000000007</v>
      </c>
      <c r="O51" s="34" t="s">
        <v>131</v>
      </c>
      <c r="P51" s="45" t="s">
        <v>13</v>
      </c>
    </row>
    <row r="52" spans="1:16" s="28" customFormat="1" x14ac:dyDescent="0.25">
      <c r="A52" s="44">
        <v>42</v>
      </c>
      <c r="B52" s="50" t="s">
        <v>16</v>
      </c>
      <c r="C52" s="34" t="s">
        <v>53</v>
      </c>
      <c r="D52" s="57" t="s">
        <v>125</v>
      </c>
      <c r="E52" s="82" t="s">
        <v>146</v>
      </c>
      <c r="F52" s="7">
        <v>11</v>
      </c>
      <c r="G52" s="81" t="s">
        <v>172</v>
      </c>
      <c r="H52" s="4">
        <f>7436.5*2</f>
        <v>14873</v>
      </c>
      <c r="I52" s="4">
        <f>546.5*2</f>
        <v>1093</v>
      </c>
      <c r="J52" s="4">
        <f>449.5*2</f>
        <v>899</v>
      </c>
      <c r="K52" s="4">
        <v>0</v>
      </c>
      <c r="L52" s="4">
        <f>246.44*2</f>
        <v>492.88</v>
      </c>
      <c r="M52" s="4">
        <f>1215.65*2</f>
        <v>2431.3000000000002</v>
      </c>
      <c r="N52" s="4">
        <f>883.54*2</f>
        <v>1767.08</v>
      </c>
      <c r="O52" s="34" t="s">
        <v>17</v>
      </c>
      <c r="P52" s="45" t="s">
        <v>13</v>
      </c>
    </row>
    <row r="53" spans="1:16" s="28" customFormat="1" x14ac:dyDescent="0.25">
      <c r="A53" s="44">
        <v>43</v>
      </c>
      <c r="B53" s="50" t="s">
        <v>16</v>
      </c>
      <c r="C53" s="81" t="s">
        <v>54</v>
      </c>
      <c r="D53" s="57" t="s">
        <v>126</v>
      </c>
      <c r="E53" s="82" t="s">
        <v>146</v>
      </c>
      <c r="F53" s="57">
        <v>11</v>
      </c>
      <c r="G53" s="81" t="s">
        <v>173</v>
      </c>
      <c r="H53" s="83">
        <f>7366.5*2</f>
        <v>14733</v>
      </c>
      <c r="I53" s="83">
        <f>546.5*2</f>
        <v>1093</v>
      </c>
      <c r="J53" s="4">
        <f>449.5*2</f>
        <v>899</v>
      </c>
      <c r="K53" s="4">
        <v>0</v>
      </c>
      <c r="L53" s="4">
        <f>308.05*2</f>
        <v>616.1</v>
      </c>
      <c r="M53" s="4">
        <f>1213.86*2</f>
        <v>2427.7199999999998</v>
      </c>
      <c r="N53" s="4">
        <f>882.57*2</f>
        <v>1765.14</v>
      </c>
      <c r="O53" s="34" t="s">
        <v>20</v>
      </c>
      <c r="P53" s="45" t="s">
        <v>13</v>
      </c>
    </row>
    <row r="54" spans="1:16" s="28" customFormat="1" x14ac:dyDescent="0.25">
      <c r="A54" s="44">
        <v>44</v>
      </c>
      <c r="B54" s="50" t="s">
        <v>11</v>
      </c>
      <c r="C54" s="34" t="s">
        <v>137</v>
      </c>
      <c r="D54" s="57" t="s">
        <v>126</v>
      </c>
      <c r="E54" s="82"/>
      <c r="F54" s="7">
        <v>16</v>
      </c>
      <c r="G54" s="81"/>
      <c r="H54" s="4">
        <f>11416*2</f>
        <v>22832</v>
      </c>
      <c r="I54" s="4">
        <f>623.5*2</f>
        <v>1247</v>
      </c>
      <c r="J54" s="4">
        <f>389.5*2</f>
        <v>779</v>
      </c>
      <c r="K54" s="4">
        <v>0</v>
      </c>
      <c r="L54" s="4">
        <f>102.68*2</f>
        <v>205.36</v>
      </c>
      <c r="M54" s="4">
        <f>2051.12*2</f>
        <v>4102.24</v>
      </c>
      <c r="N54" s="4">
        <f>1324.65*2</f>
        <v>2649.3</v>
      </c>
      <c r="O54" s="34" t="s">
        <v>15</v>
      </c>
      <c r="P54" s="45" t="s">
        <v>13</v>
      </c>
    </row>
    <row r="55" spans="1:16" s="28" customFormat="1" x14ac:dyDescent="0.25">
      <c r="A55" s="44">
        <v>45</v>
      </c>
      <c r="B55" s="57" t="s">
        <v>16</v>
      </c>
      <c r="C55" s="34" t="s">
        <v>122</v>
      </c>
      <c r="D55" s="57" t="s">
        <v>125</v>
      </c>
      <c r="E55" s="82" t="s">
        <v>147</v>
      </c>
      <c r="F55" s="7">
        <v>11</v>
      </c>
      <c r="G55" s="81" t="s">
        <v>174</v>
      </c>
      <c r="H55" s="4">
        <f>7366.5*2</f>
        <v>14733</v>
      </c>
      <c r="I55" s="4">
        <f>546.5*2</f>
        <v>1093</v>
      </c>
      <c r="J55" s="32">
        <f>449.5*2</f>
        <v>899</v>
      </c>
      <c r="K55" s="32">
        <v>0</v>
      </c>
      <c r="L55" s="32">
        <v>0</v>
      </c>
      <c r="M55" s="4">
        <f>1148.06*2</f>
        <v>2296.12</v>
      </c>
      <c r="N55" s="4">
        <f>847.15*2</f>
        <v>1694.3</v>
      </c>
      <c r="O55" s="34" t="s">
        <v>120</v>
      </c>
      <c r="P55" s="45" t="s">
        <v>13</v>
      </c>
    </row>
    <row r="56" spans="1:16" s="28" customFormat="1" x14ac:dyDescent="0.25">
      <c r="A56" s="44">
        <v>46</v>
      </c>
      <c r="B56" s="57" t="s">
        <v>16</v>
      </c>
      <c r="C56" s="34" t="s">
        <v>113</v>
      </c>
      <c r="D56" s="57" t="s">
        <v>125</v>
      </c>
      <c r="E56" s="82" t="s">
        <v>147</v>
      </c>
      <c r="F56" s="7">
        <v>11</v>
      </c>
      <c r="G56" s="81" t="s">
        <v>214</v>
      </c>
      <c r="H56" s="4">
        <f>7366.5*2</f>
        <v>14733</v>
      </c>
      <c r="I56" s="4">
        <f>546.5*2</f>
        <v>1093</v>
      </c>
      <c r="J56" s="4">
        <f>449.5*2</f>
        <v>899</v>
      </c>
      <c r="K56" s="4">
        <v>0</v>
      </c>
      <c r="L56" s="4">
        <v>0</v>
      </c>
      <c r="M56" s="4">
        <f>1148.06*2</f>
        <v>2296.12</v>
      </c>
      <c r="N56" s="4">
        <f>847.15*2</f>
        <v>1694.3</v>
      </c>
      <c r="O56" s="34" t="s">
        <v>17</v>
      </c>
      <c r="P56" s="45" t="s">
        <v>13</v>
      </c>
    </row>
    <row r="57" spans="1:16" s="28" customFormat="1" x14ac:dyDescent="0.25">
      <c r="A57" s="44">
        <v>47</v>
      </c>
      <c r="B57" s="50" t="s">
        <v>11</v>
      </c>
      <c r="C57" s="34" t="s">
        <v>56</v>
      </c>
      <c r="D57" s="57" t="s">
        <v>125</v>
      </c>
      <c r="E57" s="82" t="s">
        <v>147</v>
      </c>
      <c r="F57" s="7">
        <v>17</v>
      </c>
      <c r="G57" s="81" t="s">
        <v>232</v>
      </c>
      <c r="H57" s="4">
        <f>12864.5*2</f>
        <v>25729</v>
      </c>
      <c r="I57" s="4">
        <f>643*2</f>
        <v>1286</v>
      </c>
      <c r="J57" s="4">
        <f>528.5*2</f>
        <v>1057</v>
      </c>
      <c r="K57" s="4">
        <v>0</v>
      </c>
      <c r="L57" s="4">
        <f>246.44*2</f>
        <v>492.88</v>
      </c>
      <c r="M57" s="4">
        <f>2462.9*2</f>
        <v>4925.8</v>
      </c>
      <c r="N57" s="4">
        <f>1507.76*2</f>
        <v>3015.52</v>
      </c>
      <c r="O57" s="34" t="s">
        <v>28</v>
      </c>
      <c r="P57" s="45" t="s">
        <v>13</v>
      </c>
    </row>
    <row r="58" spans="1:16" s="28" customFormat="1" x14ac:dyDescent="0.25">
      <c r="A58" s="44">
        <v>48</v>
      </c>
      <c r="B58" s="50" t="s">
        <v>11</v>
      </c>
      <c r="C58" s="34" t="s">
        <v>57</v>
      </c>
      <c r="D58" s="57" t="s">
        <v>126</v>
      </c>
      <c r="E58" s="82" t="s">
        <v>146</v>
      </c>
      <c r="F58" s="7">
        <v>16</v>
      </c>
      <c r="G58" s="81" t="s">
        <v>175</v>
      </c>
      <c r="H58" s="4">
        <f>11416*2</f>
        <v>22832</v>
      </c>
      <c r="I58" s="4">
        <f>623.5*2</f>
        <v>1247</v>
      </c>
      <c r="J58" s="4">
        <f>499.5*2</f>
        <v>999</v>
      </c>
      <c r="K58" s="4">
        <v>0</v>
      </c>
      <c r="L58" s="4">
        <f>184.83*2</f>
        <v>369.66</v>
      </c>
      <c r="M58" s="4">
        <f>2096.32*2</f>
        <v>4192.6400000000003</v>
      </c>
      <c r="N58" s="4">
        <f>1334.1*2</f>
        <v>2668.2</v>
      </c>
      <c r="O58" s="34" t="s">
        <v>15</v>
      </c>
      <c r="P58" s="45" t="s">
        <v>13</v>
      </c>
    </row>
    <row r="59" spans="1:16" s="28" customFormat="1" x14ac:dyDescent="0.25">
      <c r="A59" s="44">
        <v>49</v>
      </c>
      <c r="B59" s="50" t="s">
        <v>11</v>
      </c>
      <c r="C59" s="34" t="s">
        <v>58</v>
      </c>
      <c r="D59" s="57" t="s">
        <v>125</v>
      </c>
      <c r="E59" s="82" t="s">
        <v>146</v>
      </c>
      <c r="F59" s="7">
        <v>17</v>
      </c>
      <c r="G59" s="81" t="s">
        <v>176</v>
      </c>
      <c r="H59" s="4">
        <f>12864.5*2</f>
        <v>25729</v>
      </c>
      <c r="I59" s="4">
        <f>643*2</f>
        <v>1286</v>
      </c>
      <c r="J59" s="4">
        <f>528.5*2</f>
        <v>1057</v>
      </c>
      <c r="K59" s="4">
        <v>0</v>
      </c>
      <c r="L59" s="4">
        <f>184.83*2</f>
        <v>369.66</v>
      </c>
      <c r="M59" s="4">
        <f>2448.41*2</f>
        <v>4896.82</v>
      </c>
      <c r="N59" s="4">
        <f>1500.67*2</f>
        <v>3001.34</v>
      </c>
      <c r="O59" s="34" t="s">
        <v>28</v>
      </c>
      <c r="P59" s="45" t="s">
        <v>13</v>
      </c>
    </row>
    <row r="60" spans="1:16" s="28" customFormat="1" x14ac:dyDescent="0.25">
      <c r="A60" s="44">
        <v>50</v>
      </c>
      <c r="B60" s="50" t="s">
        <v>11</v>
      </c>
      <c r="C60" s="34" t="s">
        <v>59</v>
      </c>
      <c r="D60" s="57" t="s">
        <v>126</v>
      </c>
      <c r="E60" s="82" t="s">
        <v>145</v>
      </c>
      <c r="F60" s="7">
        <v>16</v>
      </c>
      <c r="G60" s="81" t="s">
        <v>217</v>
      </c>
      <c r="H60" s="4">
        <f>8562*2</f>
        <v>17124</v>
      </c>
      <c r="I60" s="4">
        <f>467.5*2</f>
        <v>935</v>
      </c>
      <c r="J60" s="4">
        <f>374.5*2</f>
        <v>749</v>
      </c>
      <c r="K60" s="4">
        <v>0</v>
      </c>
      <c r="L60" s="4">
        <f>184.83*2</f>
        <v>369.66</v>
      </c>
      <c r="M60" s="4">
        <f>1410*2</f>
        <v>2820</v>
      </c>
      <c r="N60" s="4">
        <f>1005.89*2</f>
        <v>2011.78</v>
      </c>
      <c r="O60" s="34" t="s">
        <v>15</v>
      </c>
      <c r="P60" s="45" t="s">
        <v>13</v>
      </c>
    </row>
    <row r="61" spans="1:16" s="28" customFormat="1" x14ac:dyDescent="0.25">
      <c r="A61" s="44">
        <v>51</v>
      </c>
      <c r="B61" s="50" t="s">
        <v>16</v>
      </c>
      <c r="C61" s="34" t="s">
        <v>134</v>
      </c>
      <c r="D61" s="57" t="s">
        <v>126</v>
      </c>
      <c r="E61" s="82" t="s">
        <v>146</v>
      </c>
      <c r="F61" s="7">
        <v>11</v>
      </c>
      <c r="G61" s="81" t="s">
        <v>177</v>
      </c>
      <c r="H61" s="4">
        <f>7436.5*2</f>
        <v>14873</v>
      </c>
      <c r="I61" s="4">
        <f>546.5*2</f>
        <v>1093</v>
      </c>
      <c r="J61" s="4">
        <f>449.5*2</f>
        <v>899</v>
      </c>
      <c r="K61" s="4">
        <v>0</v>
      </c>
      <c r="L61" s="4">
        <f>184.83*2</f>
        <v>369.66</v>
      </c>
      <c r="M61" s="4">
        <f>1202.49*2</f>
        <v>2404.98</v>
      </c>
      <c r="N61" s="4">
        <f>876.45*2</f>
        <v>1752.9</v>
      </c>
      <c r="O61" s="34" t="s">
        <v>120</v>
      </c>
      <c r="P61" s="45" t="s">
        <v>13</v>
      </c>
    </row>
    <row r="62" spans="1:16" s="28" customFormat="1" x14ac:dyDescent="0.25">
      <c r="A62" s="44">
        <v>52</v>
      </c>
      <c r="B62" s="50" t="s">
        <v>11</v>
      </c>
      <c r="C62" s="34" t="s">
        <v>60</v>
      </c>
      <c r="D62" s="57" t="s">
        <v>126</v>
      </c>
      <c r="E62" s="82" t="s">
        <v>147</v>
      </c>
      <c r="F62" s="7">
        <v>16</v>
      </c>
      <c r="G62" s="81" t="s">
        <v>215</v>
      </c>
      <c r="H62" s="4">
        <f>11416*2</f>
        <v>22832</v>
      </c>
      <c r="I62" s="4">
        <f>623.5*2</f>
        <v>1247</v>
      </c>
      <c r="J62" s="4">
        <f>499.5*2</f>
        <v>999</v>
      </c>
      <c r="K62" s="4">
        <v>0</v>
      </c>
      <c r="L62" s="4">
        <f>369.66*2</f>
        <v>739.32</v>
      </c>
      <c r="M62" s="4">
        <f>2139.79*2</f>
        <v>4279.58</v>
      </c>
      <c r="N62" s="4">
        <f>1355.35*2</f>
        <v>2710.7</v>
      </c>
      <c r="O62" s="34" t="s">
        <v>15</v>
      </c>
      <c r="P62" s="45" t="s">
        <v>13</v>
      </c>
    </row>
    <row r="63" spans="1:16" s="28" customFormat="1" x14ac:dyDescent="0.25">
      <c r="A63" s="44">
        <v>53</v>
      </c>
      <c r="B63" s="50" t="s">
        <v>11</v>
      </c>
      <c r="C63" s="34" t="s">
        <v>61</v>
      </c>
      <c r="D63" s="57" t="s">
        <v>126</v>
      </c>
      <c r="E63" s="82" t="s">
        <v>146</v>
      </c>
      <c r="F63" s="7">
        <v>22</v>
      </c>
      <c r="G63" s="81" t="s">
        <v>226</v>
      </c>
      <c r="H63" s="4">
        <f>21109.5*2</f>
        <v>42219</v>
      </c>
      <c r="I63" s="4">
        <f>932.5*2</f>
        <v>1865</v>
      </c>
      <c r="J63" s="4">
        <f>672.5*2</f>
        <v>1345</v>
      </c>
      <c r="K63" s="4">
        <v>0</v>
      </c>
      <c r="L63" s="4">
        <f>184.83*2</f>
        <v>369.66</v>
      </c>
      <c r="M63" s="4">
        <f>4752.77*2</f>
        <v>9505.5400000000009</v>
      </c>
      <c r="N63" s="4">
        <f>2448.85*2</f>
        <v>4897.7</v>
      </c>
      <c r="O63" s="34" t="s">
        <v>39</v>
      </c>
      <c r="P63" s="45" t="s">
        <v>13</v>
      </c>
    </row>
    <row r="64" spans="1:16" s="28" customFormat="1" x14ac:dyDescent="0.25">
      <c r="A64" s="44">
        <v>54</v>
      </c>
      <c r="B64" s="50" t="s">
        <v>16</v>
      </c>
      <c r="C64" s="34" t="s">
        <v>62</v>
      </c>
      <c r="D64" s="57" t="s">
        <v>126</v>
      </c>
      <c r="E64" s="82" t="s">
        <v>146</v>
      </c>
      <c r="F64" s="7">
        <v>11</v>
      </c>
      <c r="G64" s="81" t="s">
        <v>178</v>
      </c>
      <c r="H64" s="4">
        <f>7366.5*2</f>
        <v>14733</v>
      </c>
      <c r="I64" s="4">
        <f>546.5*2</f>
        <v>1093</v>
      </c>
      <c r="J64" s="4">
        <f>449.5*2</f>
        <v>899</v>
      </c>
      <c r="K64" s="4">
        <v>0</v>
      </c>
      <c r="L64" s="4">
        <f>123.22*2</f>
        <v>246.44</v>
      </c>
      <c r="M64" s="4">
        <f>1174.38*2</f>
        <v>2348.7600000000002</v>
      </c>
      <c r="N64" s="4">
        <f>847.15*2</f>
        <v>1694.3</v>
      </c>
      <c r="O64" s="34" t="s">
        <v>20</v>
      </c>
      <c r="P64" s="45" t="s">
        <v>13</v>
      </c>
    </row>
    <row r="65" spans="1:16" s="28" customFormat="1" x14ac:dyDescent="0.25">
      <c r="A65" s="44">
        <v>55</v>
      </c>
      <c r="B65" s="50" t="s">
        <v>16</v>
      </c>
      <c r="C65" s="34" t="s">
        <v>64</v>
      </c>
      <c r="D65" s="57" t="s">
        <v>125</v>
      </c>
      <c r="E65" s="82" t="s">
        <v>146</v>
      </c>
      <c r="F65" s="7">
        <v>11</v>
      </c>
      <c r="G65" s="81" t="s">
        <v>179</v>
      </c>
      <c r="H65" s="4">
        <f>7366.5*2</f>
        <v>14733</v>
      </c>
      <c r="I65" s="4">
        <f>546.5*2</f>
        <v>1093</v>
      </c>
      <c r="J65" s="4">
        <f>449.5*2</f>
        <v>899</v>
      </c>
      <c r="K65" s="4">
        <v>0</v>
      </c>
      <c r="L65" s="4">
        <f>123.22*2</f>
        <v>246.44</v>
      </c>
      <c r="M65" s="4">
        <f>1174.38*2</f>
        <v>2348.7600000000002</v>
      </c>
      <c r="N65" s="4">
        <f>847.15*2</f>
        <v>1694.3</v>
      </c>
      <c r="O65" s="34" t="s">
        <v>23</v>
      </c>
      <c r="P65" s="45" t="s">
        <v>13</v>
      </c>
    </row>
    <row r="66" spans="1:16" s="28" customFormat="1" x14ac:dyDescent="0.25">
      <c r="A66" s="44">
        <v>56</v>
      </c>
      <c r="B66" s="50" t="s">
        <v>16</v>
      </c>
      <c r="C66" s="34" t="s">
        <v>135</v>
      </c>
      <c r="D66" s="57" t="s">
        <v>125</v>
      </c>
      <c r="E66" s="82" t="s">
        <v>145</v>
      </c>
      <c r="F66" s="7">
        <v>11</v>
      </c>
      <c r="G66" s="81" t="s">
        <v>218</v>
      </c>
      <c r="H66" s="4">
        <f>7366.5*2</f>
        <v>14733</v>
      </c>
      <c r="I66" s="4">
        <f>546.5*2</f>
        <v>1093</v>
      </c>
      <c r="J66" s="4">
        <f>449.5*2</f>
        <v>899</v>
      </c>
      <c r="K66" s="4">
        <v>0</v>
      </c>
      <c r="L66" s="4">
        <v>0</v>
      </c>
      <c r="M66" s="4">
        <f>1148.06*2</f>
        <v>2296.12</v>
      </c>
      <c r="N66" s="4">
        <f>847.15*2</f>
        <v>1694.3</v>
      </c>
      <c r="O66" s="34" t="s">
        <v>119</v>
      </c>
      <c r="P66" s="45" t="s">
        <v>13</v>
      </c>
    </row>
    <row r="67" spans="1:16" s="28" customFormat="1" x14ac:dyDescent="0.25">
      <c r="A67" s="44">
        <v>57</v>
      </c>
      <c r="B67" s="50" t="s">
        <v>16</v>
      </c>
      <c r="C67" s="34" t="s">
        <v>236</v>
      </c>
      <c r="D67" s="57" t="s">
        <v>126</v>
      </c>
      <c r="E67" s="82" t="s">
        <v>145</v>
      </c>
      <c r="F67" s="7">
        <v>11</v>
      </c>
      <c r="G67" s="81" t="s">
        <v>191</v>
      </c>
      <c r="H67" s="4">
        <f>7366.5*2</f>
        <v>14733</v>
      </c>
      <c r="I67" s="4">
        <f>546.5*2</f>
        <v>1093</v>
      </c>
      <c r="J67" s="4">
        <f>449.5*2</f>
        <v>899</v>
      </c>
      <c r="K67" s="4">
        <v>0</v>
      </c>
      <c r="L67" s="4">
        <v>0</v>
      </c>
      <c r="M67" s="4">
        <f>1148.06*2</f>
        <v>2296.12</v>
      </c>
      <c r="N67" s="4">
        <f>847.15*2</f>
        <v>1694.3</v>
      </c>
      <c r="O67" s="34" t="s">
        <v>20</v>
      </c>
      <c r="P67" s="45" t="s">
        <v>13</v>
      </c>
    </row>
    <row r="68" spans="1:16" s="28" customFormat="1" x14ac:dyDescent="0.25">
      <c r="A68" s="44">
        <v>58</v>
      </c>
      <c r="B68" s="50" t="s">
        <v>11</v>
      </c>
      <c r="C68" s="34" t="s">
        <v>65</v>
      </c>
      <c r="D68" s="57" t="s">
        <v>126</v>
      </c>
      <c r="E68" s="82" t="s">
        <v>147</v>
      </c>
      <c r="F68" s="7">
        <v>15</v>
      </c>
      <c r="G68" s="81" t="s">
        <v>208</v>
      </c>
      <c r="H68" s="4">
        <f>10136*2</f>
        <v>20272</v>
      </c>
      <c r="I68" s="4">
        <f>603*2</f>
        <v>1206</v>
      </c>
      <c r="J68" s="4">
        <f>487.5*2</f>
        <v>975</v>
      </c>
      <c r="K68" s="4">
        <v>0</v>
      </c>
      <c r="L68" s="4">
        <f>246.44*2</f>
        <v>492.88</v>
      </c>
      <c r="M68" s="4">
        <f>1812.44*2</f>
        <v>3624.88</v>
      </c>
      <c r="N68" s="4">
        <f>1193.98*2</f>
        <v>2387.96</v>
      </c>
      <c r="O68" s="34" t="s">
        <v>121</v>
      </c>
      <c r="P68" s="45" t="s">
        <v>13</v>
      </c>
    </row>
    <row r="69" spans="1:16" s="28" customFormat="1" x14ac:dyDescent="0.25">
      <c r="A69" s="44">
        <v>59</v>
      </c>
      <c r="B69" s="50" t="s">
        <v>11</v>
      </c>
      <c r="C69" s="34" t="s">
        <v>66</v>
      </c>
      <c r="D69" s="57" t="s">
        <v>126</v>
      </c>
      <c r="E69" s="82" t="s">
        <v>146</v>
      </c>
      <c r="F69" s="7">
        <v>16</v>
      </c>
      <c r="G69" s="81" t="s">
        <v>180</v>
      </c>
      <c r="H69" s="4">
        <f>11416*2</f>
        <v>22832</v>
      </c>
      <c r="I69" s="4">
        <f>623.5*2</f>
        <v>1247</v>
      </c>
      <c r="J69" s="4">
        <f>499.5*2</f>
        <v>999</v>
      </c>
      <c r="K69" s="4">
        <v>0</v>
      </c>
      <c r="L69" s="4">
        <f>184.83*2</f>
        <v>369.66</v>
      </c>
      <c r="M69" s="4">
        <f>2096.32*2</f>
        <v>4192.6400000000003</v>
      </c>
      <c r="N69" s="4">
        <f>1334.1*2</f>
        <v>2668.2</v>
      </c>
      <c r="O69" s="34" t="s">
        <v>15</v>
      </c>
      <c r="P69" s="45" t="s">
        <v>13</v>
      </c>
    </row>
    <row r="70" spans="1:16" s="28" customFormat="1" x14ac:dyDescent="0.25">
      <c r="A70" s="44">
        <v>60</v>
      </c>
      <c r="B70" s="50" t="s">
        <v>11</v>
      </c>
      <c r="C70" s="34" t="s">
        <v>67</v>
      </c>
      <c r="D70" s="57" t="s">
        <v>126</v>
      </c>
      <c r="E70" s="82" t="s">
        <v>146</v>
      </c>
      <c r="F70" s="7">
        <v>17</v>
      </c>
      <c r="G70" s="81" t="s">
        <v>181</v>
      </c>
      <c r="H70" s="4">
        <f>12864.5*2</f>
        <v>25729</v>
      </c>
      <c r="I70" s="4">
        <f>643*2</f>
        <v>1286</v>
      </c>
      <c r="J70" s="4">
        <f>528.5*2</f>
        <v>1057</v>
      </c>
      <c r="K70" s="4">
        <v>0</v>
      </c>
      <c r="L70" s="4">
        <f>246.44*2</f>
        <v>492.88</v>
      </c>
      <c r="M70" s="4">
        <f>2462.9*2</f>
        <v>4925.8</v>
      </c>
      <c r="N70" s="4">
        <f>1507.76*2</f>
        <v>3015.52</v>
      </c>
      <c r="O70" s="34" t="s">
        <v>28</v>
      </c>
      <c r="P70" s="45" t="s">
        <v>13</v>
      </c>
    </row>
    <row r="71" spans="1:16" s="28" customFormat="1" x14ac:dyDescent="0.25">
      <c r="A71" s="44">
        <v>61</v>
      </c>
      <c r="B71" s="50" t="s">
        <v>11</v>
      </c>
      <c r="C71" s="34" t="s">
        <v>68</v>
      </c>
      <c r="D71" s="57" t="s">
        <v>126</v>
      </c>
      <c r="E71" s="82" t="s">
        <v>145</v>
      </c>
      <c r="F71" s="7">
        <v>17</v>
      </c>
      <c r="G71" s="81" t="s">
        <v>203</v>
      </c>
      <c r="H71" s="4">
        <f>12864.5*2</f>
        <v>25729</v>
      </c>
      <c r="I71" s="4">
        <f>643*2</f>
        <v>1286</v>
      </c>
      <c r="J71" s="4">
        <f>528.5*2</f>
        <v>1057</v>
      </c>
      <c r="K71" s="4">
        <v>0</v>
      </c>
      <c r="L71" s="4">
        <f>184.83*2</f>
        <v>369.66</v>
      </c>
      <c r="M71" s="4">
        <f>2448.41*2</f>
        <v>4896.82</v>
      </c>
      <c r="N71" s="4">
        <f>1500.67*2</f>
        <v>3001.34</v>
      </c>
      <c r="O71" s="34" t="s">
        <v>28</v>
      </c>
      <c r="P71" s="45" t="s">
        <v>13</v>
      </c>
    </row>
    <row r="72" spans="1:16" s="29" customFormat="1" x14ac:dyDescent="0.25">
      <c r="A72" s="44">
        <v>62</v>
      </c>
      <c r="B72" s="50" t="s">
        <v>11</v>
      </c>
      <c r="C72" s="86" t="s">
        <v>69</v>
      </c>
      <c r="D72" s="87" t="s">
        <v>126</v>
      </c>
      <c r="E72" s="82" t="s">
        <v>145</v>
      </c>
      <c r="F72" s="85">
        <v>17</v>
      </c>
      <c r="G72" s="81" t="s">
        <v>209</v>
      </c>
      <c r="H72" s="31">
        <f>12864.5*2</f>
        <v>25729</v>
      </c>
      <c r="I72" s="31">
        <f>643*2</f>
        <v>1286</v>
      </c>
      <c r="J72" s="31">
        <f>528.5*2</f>
        <v>1057</v>
      </c>
      <c r="K72" s="31">
        <v>0</v>
      </c>
      <c r="L72" s="31">
        <f>246.44*2</f>
        <v>492.88</v>
      </c>
      <c r="M72" s="31">
        <f>2462.9*2</f>
        <v>4925.8</v>
      </c>
      <c r="N72" s="31">
        <f>1507.76*2</f>
        <v>3015.52</v>
      </c>
      <c r="O72" s="37" t="s">
        <v>55</v>
      </c>
      <c r="P72" s="46" t="s">
        <v>13</v>
      </c>
    </row>
    <row r="73" spans="1:16" s="28" customFormat="1" x14ac:dyDescent="0.25">
      <c r="A73" s="44">
        <v>63</v>
      </c>
      <c r="B73" s="50" t="s">
        <v>16</v>
      </c>
      <c r="C73" s="34" t="s">
        <v>70</v>
      </c>
      <c r="D73" s="57" t="s">
        <v>126</v>
      </c>
      <c r="E73" s="82" t="s">
        <v>146</v>
      </c>
      <c r="F73" s="7">
        <v>11</v>
      </c>
      <c r="G73" s="81" t="s">
        <v>182</v>
      </c>
      <c r="H73" s="4">
        <f>7366.5*2</f>
        <v>14733</v>
      </c>
      <c r="I73" s="4">
        <f>546.5*2</f>
        <v>1093</v>
      </c>
      <c r="J73" s="4">
        <f>449.5*2</f>
        <v>899</v>
      </c>
      <c r="K73" s="4">
        <v>0</v>
      </c>
      <c r="L73" s="4">
        <f>308.05*2</f>
        <v>616.1</v>
      </c>
      <c r="M73" s="4">
        <f>1213.86*2</f>
        <v>2427.7199999999998</v>
      </c>
      <c r="N73" s="4">
        <f>882.57*2</f>
        <v>1765.14</v>
      </c>
      <c r="O73" s="34" t="s">
        <v>23</v>
      </c>
      <c r="P73" s="45" t="s">
        <v>13</v>
      </c>
    </row>
    <row r="74" spans="1:16" s="28" customFormat="1" x14ac:dyDescent="0.25">
      <c r="A74" s="44">
        <v>64</v>
      </c>
      <c r="B74" s="50" t="s">
        <v>16</v>
      </c>
      <c r="C74" s="34" t="s">
        <v>143</v>
      </c>
      <c r="D74" s="57" t="s">
        <v>126</v>
      </c>
      <c r="E74" s="82" t="s">
        <v>146</v>
      </c>
      <c r="F74" s="7">
        <v>11</v>
      </c>
      <c r="G74" s="81" t="s">
        <v>183</v>
      </c>
      <c r="H74" s="4">
        <f>7366.5*2</f>
        <v>14733</v>
      </c>
      <c r="I74" s="4">
        <f>546.5*2</f>
        <v>1093</v>
      </c>
      <c r="J74" s="4">
        <f>449.5*2</f>
        <v>899</v>
      </c>
      <c r="K74" s="4">
        <v>0</v>
      </c>
      <c r="L74" s="4">
        <f>184.83*2</f>
        <v>369.66</v>
      </c>
      <c r="M74" s="4">
        <f>1187.54*2</f>
        <v>2375.08</v>
      </c>
      <c r="N74" s="4">
        <f>868.4*2</f>
        <v>1736.8</v>
      </c>
      <c r="O74" s="81" t="s">
        <v>119</v>
      </c>
      <c r="P74" s="45" t="s">
        <v>13</v>
      </c>
    </row>
    <row r="75" spans="1:16" s="28" customFormat="1" x14ac:dyDescent="0.25">
      <c r="A75" s="44">
        <v>65</v>
      </c>
      <c r="B75" s="50" t="s">
        <v>16</v>
      </c>
      <c r="C75" s="34" t="s">
        <v>71</v>
      </c>
      <c r="D75" s="57" t="s">
        <v>125</v>
      </c>
      <c r="E75" s="82" t="s">
        <v>146</v>
      </c>
      <c r="F75" s="7">
        <v>11</v>
      </c>
      <c r="G75" s="81" t="s">
        <v>184</v>
      </c>
      <c r="H75" s="4">
        <f>7436.5*2</f>
        <v>14873</v>
      </c>
      <c r="I75" s="4">
        <f>546.5*2</f>
        <v>1093</v>
      </c>
      <c r="J75" s="4">
        <f>449.5*2</f>
        <v>899</v>
      </c>
      <c r="K75" s="4">
        <v>0</v>
      </c>
      <c r="L75" s="4">
        <f>184.83*2</f>
        <v>369.66</v>
      </c>
      <c r="M75" s="4">
        <f>1202.49*2</f>
        <v>2404.98</v>
      </c>
      <c r="N75" s="4">
        <f>876.45*2</f>
        <v>1752.9</v>
      </c>
      <c r="O75" s="34" t="s">
        <v>72</v>
      </c>
      <c r="P75" s="45" t="s">
        <v>13</v>
      </c>
    </row>
    <row r="76" spans="1:16" s="28" customFormat="1" x14ac:dyDescent="0.25">
      <c r="A76" s="44">
        <v>66</v>
      </c>
      <c r="B76" s="50" t="s">
        <v>16</v>
      </c>
      <c r="C76" s="34" t="s">
        <v>73</v>
      </c>
      <c r="D76" s="57" t="s">
        <v>126</v>
      </c>
      <c r="E76" s="82" t="s">
        <v>146</v>
      </c>
      <c r="F76" s="7">
        <v>11</v>
      </c>
      <c r="G76" s="81" t="s">
        <v>185</v>
      </c>
      <c r="H76" s="4">
        <f>7366.5*2</f>
        <v>14733</v>
      </c>
      <c r="I76" s="4">
        <f>546.5*2</f>
        <v>1093</v>
      </c>
      <c r="J76" s="4">
        <f>449.5*2</f>
        <v>899</v>
      </c>
      <c r="K76" s="4">
        <v>0</v>
      </c>
      <c r="L76" s="4">
        <f>123.22*2</f>
        <v>246.44</v>
      </c>
      <c r="M76" s="4">
        <f>1174.38*2</f>
        <v>2348.7600000000002</v>
      </c>
      <c r="N76" s="4">
        <f>847.15*2</f>
        <v>1694.3</v>
      </c>
      <c r="O76" s="34" t="s">
        <v>23</v>
      </c>
      <c r="P76" s="45" t="s">
        <v>13</v>
      </c>
    </row>
    <row r="77" spans="1:16" s="28" customFormat="1" x14ac:dyDescent="0.25">
      <c r="A77" s="44">
        <v>67</v>
      </c>
      <c r="B77" s="50" t="s">
        <v>11</v>
      </c>
      <c r="C77" s="34" t="s">
        <v>74</v>
      </c>
      <c r="D77" s="57" t="s">
        <v>126</v>
      </c>
      <c r="E77" s="82" t="s">
        <v>146</v>
      </c>
      <c r="F77" s="7">
        <v>16</v>
      </c>
      <c r="G77" s="81" t="s">
        <v>227</v>
      </c>
      <c r="H77" s="4">
        <f>11416*2</f>
        <v>22832</v>
      </c>
      <c r="I77" s="4">
        <f>623.5*2</f>
        <v>1247</v>
      </c>
      <c r="J77" s="4">
        <f>499.5*2</f>
        <v>999</v>
      </c>
      <c r="K77" s="4">
        <v>0</v>
      </c>
      <c r="L77" s="4">
        <f>184.83*2</f>
        <v>369.66</v>
      </c>
      <c r="M77" s="4">
        <f>2096.32*2</f>
        <v>4192.6400000000003</v>
      </c>
      <c r="N77" s="4">
        <f>1334.1*2</f>
        <v>2668.2</v>
      </c>
      <c r="O77" s="34" t="s">
        <v>15</v>
      </c>
      <c r="P77" s="45" t="s">
        <v>13</v>
      </c>
    </row>
    <row r="78" spans="1:16" s="28" customFormat="1" x14ac:dyDescent="0.25">
      <c r="A78" s="44">
        <v>68</v>
      </c>
      <c r="B78" s="50" t="s">
        <v>16</v>
      </c>
      <c r="C78" s="34" t="s">
        <v>75</v>
      </c>
      <c r="D78" s="57" t="s">
        <v>126</v>
      </c>
      <c r="E78" s="82" t="s">
        <v>146</v>
      </c>
      <c r="F78" s="7">
        <v>11</v>
      </c>
      <c r="G78" s="81" t="s">
        <v>186</v>
      </c>
      <c r="H78" s="4">
        <f>7366.5*2</f>
        <v>14733</v>
      </c>
      <c r="I78" s="4">
        <f>546.5*2</f>
        <v>1093</v>
      </c>
      <c r="J78" s="4">
        <f>449.5*2</f>
        <v>899</v>
      </c>
      <c r="K78" s="4">
        <v>0</v>
      </c>
      <c r="L78" s="4">
        <f>184.83*2</f>
        <v>369.66</v>
      </c>
      <c r="M78" s="4">
        <f>1187.54*2</f>
        <v>2375.08</v>
      </c>
      <c r="N78" s="4">
        <f>868.4*2</f>
        <v>1736.8</v>
      </c>
      <c r="O78" s="34" t="s">
        <v>20</v>
      </c>
      <c r="P78" s="45" t="s">
        <v>13</v>
      </c>
    </row>
    <row r="79" spans="1:16" s="28" customFormat="1" x14ac:dyDescent="0.25">
      <c r="A79" s="44">
        <v>69</v>
      </c>
      <c r="B79" s="50" t="s">
        <v>16</v>
      </c>
      <c r="C79" s="34" t="s">
        <v>129</v>
      </c>
      <c r="D79" s="57" t="s">
        <v>126</v>
      </c>
      <c r="E79" s="82" t="s">
        <v>147</v>
      </c>
      <c r="F79" s="7">
        <v>11</v>
      </c>
      <c r="G79" s="81" t="s">
        <v>233</v>
      </c>
      <c r="H79" s="4">
        <f>7366.5*2</f>
        <v>14733</v>
      </c>
      <c r="I79" s="4">
        <f>546.5*2</f>
        <v>1093</v>
      </c>
      <c r="J79" s="4">
        <f>449.5*2</f>
        <v>899</v>
      </c>
      <c r="K79" s="4">
        <v>0</v>
      </c>
      <c r="L79" s="4">
        <v>0</v>
      </c>
      <c r="M79" s="4">
        <f>1148.06*2</f>
        <v>2296.12</v>
      </c>
      <c r="N79" s="4">
        <f>847.15*2</f>
        <v>1694.3</v>
      </c>
      <c r="O79" s="34" t="s">
        <v>119</v>
      </c>
      <c r="P79" s="45" t="s">
        <v>13</v>
      </c>
    </row>
    <row r="80" spans="1:16" s="28" customFormat="1" x14ac:dyDescent="0.25">
      <c r="A80" s="44">
        <v>70</v>
      </c>
      <c r="B80" s="50" t="s">
        <v>11</v>
      </c>
      <c r="C80" s="34" t="s">
        <v>76</v>
      </c>
      <c r="D80" s="57" t="s">
        <v>126</v>
      </c>
      <c r="E80" s="82" t="s">
        <v>146</v>
      </c>
      <c r="F80" s="7">
        <v>16</v>
      </c>
      <c r="G80" s="81" t="s">
        <v>187</v>
      </c>
      <c r="H80" s="4">
        <f>11416*2</f>
        <v>22832</v>
      </c>
      <c r="I80" s="4">
        <f>623.5*2</f>
        <v>1247</v>
      </c>
      <c r="J80" s="4">
        <f>499.5*2</f>
        <v>999</v>
      </c>
      <c r="K80" s="4">
        <v>0</v>
      </c>
      <c r="L80" s="4">
        <f>246.44*2</f>
        <v>492.88</v>
      </c>
      <c r="M80" s="4">
        <f>2110.81*2</f>
        <v>4221.62</v>
      </c>
      <c r="N80" s="4">
        <f>1341.18*2</f>
        <v>2682.36</v>
      </c>
      <c r="O80" s="34" t="s">
        <v>15</v>
      </c>
      <c r="P80" s="45" t="s">
        <v>13</v>
      </c>
    </row>
    <row r="81" spans="1:17" s="28" customFormat="1" x14ac:dyDescent="0.25">
      <c r="A81" s="44">
        <v>71</v>
      </c>
      <c r="B81" s="50" t="s">
        <v>11</v>
      </c>
      <c r="C81" s="34" t="s">
        <v>77</v>
      </c>
      <c r="D81" s="57" t="s">
        <v>126</v>
      </c>
      <c r="E81" s="82" t="s">
        <v>146</v>
      </c>
      <c r="F81" s="7">
        <v>17</v>
      </c>
      <c r="G81" s="81" t="s">
        <v>188</v>
      </c>
      <c r="H81" s="4">
        <f>12864.5*2</f>
        <v>25729</v>
      </c>
      <c r="I81" s="4">
        <f>643*2</f>
        <v>1286</v>
      </c>
      <c r="J81" s="4">
        <f>528.5*2</f>
        <v>1057</v>
      </c>
      <c r="K81" s="4">
        <v>0</v>
      </c>
      <c r="L81" s="4">
        <f>246.44*2</f>
        <v>492.88</v>
      </c>
      <c r="M81" s="4">
        <f>2462.9*2</f>
        <v>4925.8</v>
      </c>
      <c r="N81" s="4">
        <f>1507.76*2</f>
        <v>3015.52</v>
      </c>
      <c r="O81" s="34" t="s">
        <v>28</v>
      </c>
      <c r="P81" s="45" t="s">
        <v>13</v>
      </c>
      <c r="Q81" s="30"/>
    </row>
    <row r="82" spans="1:17" s="28" customFormat="1" x14ac:dyDescent="0.25">
      <c r="A82" s="44">
        <v>72</v>
      </c>
      <c r="B82" s="50" t="s">
        <v>11</v>
      </c>
      <c r="C82" s="34" t="s">
        <v>78</v>
      </c>
      <c r="D82" s="57" t="s">
        <v>126</v>
      </c>
      <c r="E82" s="82" t="s">
        <v>146</v>
      </c>
      <c r="F82" s="7">
        <v>16</v>
      </c>
      <c r="G82" s="81" t="s">
        <v>189</v>
      </c>
      <c r="H82" s="4">
        <f>11416*2</f>
        <v>22832</v>
      </c>
      <c r="I82" s="4">
        <f>623.5*2</f>
        <v>1247</v>
      </c>
      <c r="J82" s="4">
        <f>499.5*2</f>
        <v>999</v>
      </c>
      <c r="K82" s="4">
        <v>0</v>
      </c>
      <c r="L82" s="4">
        <f>246.44*2</f>
        <v>492.88</v>
      </c>
      <c r="M82" s="4">
        <f>2110.81*2</f>
        <v>4221.62</v>
      </c>
      <c r="N82" s="4">
        <f>1341.18*2</f>
        <v>2682.36</v>
      </c>
      <c r="O82" s="34" t="s">
        <v>15</v>
      </c>
      <c r="P82" s="45" t="s">
        <v>13</v>
      </c>
    </row>
    <row r="83" spans="1:17" s="28" customFormat="1" x14ac:dyDescent="0.25">
      <c r="A83" s="44">
        <v>73</v>
      </c>
      <c r="B83" s="50" t="s">
        <v>16</v>
      </c>
      <c r="C83" s="34" t="s">
        <v>79</v>
      </c>
      <c r="D83" s="57" t="s">
        <v>126</v>
      </c>
      <c r="E83" s="82" t="s">
        <v>146</v>
      </c>
      <c r="F83" s="7">
        <v>11</v>
      </c>
      <c r="G83" s="81" t="s">
        <v>190</v>
      </c>
      <c r="H83" s="4">
        <f>7366.5*2</f>
        <v>14733</v>
      </c>
      <c r="I83" s="4">
        <f>546.5*2</f>
        <v>1093</v>
      </c>
      <c r="J83" s="4">
        <f>449.5*2</f>
        <v>899</v>
      </c>
      <c r="K83" s="4">
        <v>0</v>
      </c>
      <c r="L83" s="4">
        <f>369.66*2</f>
        <v>739.32</v>
      </c>
      <c r="M83" s="4">
        <f>1227.02*2</f>
        <v>2454.04</v>
      </c>
      <c r="N83" s="4">
        <f>889.66*2</f>
        <v>1779.32</v>
      </c>
      <c r="O83" s="34" t="s">
        <v>23</v>
      </c>
      <c r="P83" s="45" t="s">
        <v>13</v>
      </c>
    </row>
    <row r="84" spans="1:17" s="28" customFormat="1" x14ac:dyDescent="0.25">
      <c r="A84" s="44">
        <v>74</v>
      </c>
      <c r="B84" s="50" t="s">
        <v>11</v>
      </c>
      <c r="C84" s="34" t="s">
        <v>132</v>
      </c>
      <c r="D84" s="57" t="s">
        <v>125</v>
      </c>
      <c r="E84" s="82" t="s">
        <v>145</v>
      </c>
      <c r="F84" s="7">
        <v>28</v>
      </c>
      <c r="G84" s="81" t="s">
        <v>192</v>
      </c>
      <c r="H84" s="4">
        <f>42499*2</f>
        <v>84998</v>
      </c>
      <c r="I84" s="4">
        <f>1601*2</f>
        <v>3202</v>
      </c>
      <c r="J84" s="4">
        <f>1119*2</f>
        <v>2238</v>
      </c>
      <c r="K84" s="4">
        <v>0</v>
      </c>
      <c r="L84" s="4">
        <v>0</v>
      </c>
      <c r="M84" s="4">
        <f>11633.75*2</f>
        <v>23267.5</v>
      </c>
      <c r="N84" s="4">
        <f>4887.39*2</f>
        <v>9774.7800000000007</v>
      </c>
      <c r="O84" s="34" t="s">
        <v>133</v>
      </c>
      <c r="P84" s="45" t="s">
        <v>13</v>
      </c>
    </row>
    <row r="85" spans="1:17" s="28" customFormat="1" x14ac:dyDescent="0.25">
      <c r="A85" s="44">
        <v>75</v>
      </c>
      <c r="B85" s="50" t="s">
        <v>16</v>
      </c>
      <c r="C85" s="34" t="s">
        <v>80</v>
      </c>
      <c r="D85" s="57" t="s">
        <v>126</v>
      </c>
      <c r="E85" s="82" t="s">
        <v>146</v>
      </c>
      <c r="F85" s="7">
        <v>11</v>
      </c>
      <c r="G85" s="81" t="s">
        <v>193</v>
      </c>
      <c r="H85" s="4">
        <f>7366.5*2</f>
        <v>14733</v>
      </c>
      <c r="I85" s="4">
        <f>546.5*2</f>
        <v>1093</v>
      </c>
      <c r="J85" s="4">
        <f>449.5*2</f>
        <v>899</v>
      </c>
      <c r="K85" s="4">
        <v>0</v>
      </c>
      <c r="L85" s="4">
        <f>184.83*2</f>
        <v>369.66</v>
      </c>
      <c r="M85" s="4">
        <f>1187.54*2</f>
        <v>2375.08</v>
      </c>
      <c r="N85" s="4">
        <f>868.4*2</f>
        <v>1736.8</v>
      </c>
      <c r="O85" s="34" t="s">
        <v>17</v>
      </c>
      <c r="P85" s="45" t="s">
        <v>13</v>
      </c>
    </row>
    <row r="86" spans="1:17" s="28" customFormat="1" x14ac:dyDescent="0.25">
      <c r="A86" s="44">
        <v>76</v>
      </c>
      <c r="B86" s="50" t="s">
        <v>11</v>
      </c>
      <c r="C86" s="34" t="s">
        <v>81</v>
      </c>
      <c r="D86" s="57" t="s">
        <v>126</v>
      </c>
      <c r="E86" s="82" t="s">
        <v>145</v>
      </c>
      <c r="F86" s="7">
        <v>16</v>
      </c>
      <c r="G86" s="81" t="s">
        <v>211</v>
      </c>
      <c r="H86" s="4">
        <f>11416*2</f>
        <v>22832</v>
      </c>
      <c r="I86" s="4">
        <f>623.5*2</f>
        <v>1247</v>
      </c>
      <c r="J86" s="4">
        <f>499.5*2</f>
        <v>999</v>
      </c>
      <c r="K86" s="4">
        <v>0</v>
      </c>
      <c r="L86" s="4">
        <f>184.83*2</f>
        <v>369.66</v>
      </c>
      <c r="M86" s="4">
        <f>2096.32*2</f>
        <v>4192.6400000000003</v>
      </c>
      <c r="N86" s="4">
        <f>1334.1*2</f>
        <v>2668.2</v>
      </c>
      <c r="O86" s="34" t="s">
        <v>15</v>
      </c>
      <c r="P86" s="45" t="s">
        <v>13</v>
      </c>
    </row>
    <row r="87" spans="1:17" s="28" customFormat="1" x14ac:dyDescent="0.25">
      <c r="A87" s="44">
        <v>77</v>
      </c>
      <c r="B87" s="57" t="s">
        <v>11</v>
      </c>
      <c r="C87" s="34" t="s">
        <v>118</v>
      </c>
      <c r="D87" s="57" t="s">
        <v>126</v>
      </c>
      <c r="E87" s="82" t="s">
        <v>145</v>
      </c>
      <c r="F87" s="7">
        <v>16</v>
      </c>
      <c r="G87" s="81" t="s">
        <v>212</v>
      </c>
      <c r="H87" s="4">
        <f>11416*2</f>
        <v>22832</v>
      </c>
      <c r="I87" s="4">
        <f>623.5*2</f>
        <v>1247</v>
      </c>
      <c r="J87" s="32">
        <f>499.5*2</f>
        <v>999</v>
      </c>
      <c r="K87" s="32">
        <v>0</v>
      </c>
      <c r="L87" s="32">
        <v>0</v>
      </c>
      <c r="M87" s="4">
        <f>2052.85*2</f>
        <v>4105.7</v>
      </c>
      <c r="N87" s="4">
        <f>1312.84*2</f>
        <v>2625.68</v>
      </c>
      <c r="O87" s="34" t="s">
        <v>117</v>
      </c>
      <c r="P87" s="45" t="s">
        <v>13</v>
      </c>
    </row>
    <row r="88" spans="1:17" s="28" customFormat="1" x14ac:dyDescent="0.25">
      <c r="A88" s="44">
        <v>78</v>
      </c>
      <c r="B88" s="50" t="s">
        <v>11</v>
      </c>
      <c r="C88" s="34" t="s">
        <v>82</v>
      </c>
      <c r="D88" s="57" t="s">
        <v>126</v>
      </c>
      <c r="E88" s="82" t="s">
        <v>146</v>
      </c>
      <c r="F88" s="7">
        <v>17</v>
      </c>
      <c r="G88" s="81" t="s">
        <v>194</v>
      </c>
      <c r="H88" s="4">
        <f>12864.5*2</f>
        <v>25729</v>
      </c>
      <c r="I88" s="4">
        <f>643*2</f>
        <v>1286</v>
      </c>
      <c r="J88" s="4">
        <f>528.5*2</f>
        <v>1057</v>
      </c>
      <c r="K88" s="4">
        <v>0</v>
      </c>
      <c r="L88" s="4">
        <f>246.44*2</f>
        <v>492.88</v>
      </c>
      <c r="M88" s="4">
        <f>2462.9*2</f>
        <v>4925.8</v>
      </c>
      <c r="N88" s="4">
        <f>1507.76*2</f>
        <v>3015.52</v>
      </c>
      <c r="O88" s="34" t="s">
        <v>28</v>
      </c>
      <c r="P88" s="45" t="s">
        <v>13</v>
      </c>
    </row>
    <row r="89" spans="1:17" s="28" customFormat="1" x14ac:dyDescent="0.25">
      <c r="A89" s="44">
        <v>79</v>
      </c>
      <c r="B89" s="50" t="s">
        <v>16</v>
      </c>
      <c r="C89" s="34" t="s">
        <v>83</v>
      </c>
      <c r="D89" s="57" t="s">
        <v>126</v>
      </c>
      <c r="E89" s="82" t="s">
        <v>146</v>
      </c>
      <c r="F89" s="7">
        <v>11</v>
      </c>
      <c r="G89" s="81" t="s">
        <v>195</v>
      </c>
      <c r="H89" s="4">
        <f>7366.5*2</f>
        <v>14733</v>
      </c>
      <c r="I89" s="4">
        <f>546.5*2</f>
        <v>1093</v>
      </c>
      <c r="J89" s="4">
        <f>449.5*2</f>
        <v>899</v>
      </c>
      <c r="K89" s="4">
        <v>0</v>
      </c>
      <c r="L89" s="4">
        <f>246.44*2</f>
        <v>492.88</v>
      </c>
      <c r="M89" s="4">
        <f>1200.7*2</f>
        <v>2401.4</v>
      </c>
      <c r="N89" s="4">
        <f>875.49*2</f>
        <v>1750.98</v>
      </c>
      <c r="O89" s="34" t="s">
        <v>20</v>
      </c>
      <c r="P89" s="45" t="s">
        <v>13</v>
      </c>
    </row>
    <row r="90" spans="1:17" s="28" customFormat="1" x14ac:dyDescent="0.25">
      <c r="A90" s="44">
        <v>80</v>
      </c>
      <c r="B90" s="50" t="s">
        <v>11</v>
      </c>
      <c r="C90" s="34" t="s">
        <v>84</v>
      </c>
      <c r="D90" s="57" t="s">
        <v>126</v>
      </c>
      <c r="E90" s="82" t="s">
        <v>146</v>
      </c>
      <c r="F90" s="7">
        <v>17</v>
      </c>
      <c r="G90" s="81" t="s">
        <v>234</v>
      </c>
      <c r="H90" s="4">
        <f>12864.5*2</f>
        <v>25729</v>
      </c>
      <c r="I90" s="4">
        <f>643*2</f>
        <v>1286</v>
      </c>
      <c r="J90" s="4">
        <f>528.5*2</f>
        <v>1057</v>
      </c>
      <c r="K90" s="4">
        <v>0</v>
      </c>
      <c r="L90" s="4">
        <f>308.05*2</f>
        <v>616.1</v>
      </c>
      <c r="M90" s="4">
        <f>2477.39*2</f>
        <v>4954.78</v>
      </c>
      <c r="N90" s="4">
        <f>1514.84*2</f>
        <v>3029.68</v>
      </c>
      <c r="O90" s="34" t="s">
        <v>28</v>
      </c>
      <c r="P90" s="45" t="s">
        <v>13</v>
      </c>
    </row>
    <row r="91" spans="1:17" s="28" customFormat="1" x14ac:dyDescent="0.25">
      <c r="A91" s="44">
        <v>81</v>
      </c>
      <c r="B91" s="50" t="s">
        <v>16</v>
      </c>
      <c r="C91" s="34" t="s">
        <v>85</v>
      </c>
      <c r="D91" s="57" t="s">
        <v>126</v>
      </c>
      <c r="E91" s="82" t="s">
        <v>147</v>
      </c>
      <c r="F91" s="7">
        <v>11</v>
      </c>
      <c r="G91" s="81" t="s">
        <v>196</v>
      </c>
      <c r="H91" s="4">
        <f>7366.5*2</f>
        <v>14733</v>
      </c>
      <c r="I91" s="4">
        <f>546.5*2</f>
        <v>1093</v>
      </c>
      <c r="J91" s="4">
        <f>449.5*2</f>
        <v>899</v>
      </c>
      <c r="K91" s="4">
        <v>0</v>
      </c>
      <c r="L91" s="4">
        <v>0</v>
      </c>
      <c r="M91" s="4">
        <f>1148.06*2</f>
        <v>2296.12</v>
      </c>
      <c r="N91" s="4">
        <f>847.15*2</f>
        <v>1694.3</v>
      </c>
      <c r="O91" s="34" t="s">
        <v>119</v>
      </c>
      <c r="P91" s="45" t="s">
        <v>13</v>
      </c>
    </row>
    <row r="92" spans="1:17" s="28" customFormat="1" x14ac:dyDescent="0.25">
      <c r="A92" s="44">
        <v>82</v>
      </c>
      <c r="B92" s="50" t="s">
        <v>11</v>
      </c>
      <c r="C92" s="81" t="s">
        <v>86</v>
      </c>
      <c r="D92" s="57" t="s">
        <v>126</v>
      </c>
      <c r="E92" s="82" t="s">
        <v>145</v>
      </c>
      <c r="F92" s="7">
        <v>22</v>
      </c>
      <c r="G92" s="81" t="s">
        <v>219</v>
      </c>
      <c r="H92" s="4">
        <f>21109.5*2</f>
        <v>42219</v>
      </c>
      <c r="I92" s="4">
        <f>932.5*2</f>
        <v>1865</v>
      </c>
      <c r="J92" s="4">
        <f>672.5*2</f>
        <v>1345</v>
      </c>
      <c r="K92" s="4">
        <v>0</v>
      </c>
      <c r="L92" s="4">
        <f>246.44*2</f>
        <v>492.88</v>
      </c>
      <c r="M92" s="4">
        <f>4771.25*2</f>
        <v>9542.5</v>
      </c>
      <c r="N92" s="4">
        <f>2455.93*2</f>
        <v>4911.8599999999997</v>
      </c>
      <c r="O92" s="34" t="s">
        <v>39</v>
      </c>
      <c r="P92" s="45" t="s">
        <v>13</v>
      </c>
    </row>
    <row r="93" spans="1:17" s="28" customFormat="1" x14ac:dyDescent="0.25">
      <c r="A93" s="44">
        <v>83</v>
      </c>
      <c r="B93" s="50" t="s">
        <v>11</v>
      </c>
      <c r="C93" s="34" t="s">
        <v>87</v>
      </c>
      <c r="D93" s="57" t="s">
        <v>126</v>
      </c>
      <c r="E93" s="82" t="s">
        <v>146</v>
      </c>
      <c r="F93" s="7">
        <v>16</v>
      </c>
      <c r="G93" s="81" t="s">
        <v>197</v>
      </c>
      <c r="H93" s="4">
        <f>11416*2</f>
        <v>22832</v>
      </c>
      <c r="I93" s="4">
        <f>623.5*2</f>
        <v>1247</v>
      </c>
      <c r="J93" s="4">
        <f>499.5*2</f>
        <v>999</v>
      </c>
      <c r="K93" s="4">
        <v>0</v>
      </c>
      <c r="L93" s="4">
        <f>184.83*2</f>
        <v>369.66</v>
      </c>
      <c r="M93" s="4">
        <f>2096.32*2</f>
        <v>4192.6400000000003</v>
      </c>
      <c r="N93" s="4">
        <f>1334.1*2</f>
        <v>2668.2</v>
      </c>
      <c r="O93" s="34" t="s">
        <v>15</v>
      </c>
      <c r="P93" s="45" t="s">
        <v>13</v>
      </c>
    </row>
    <row r="94" spans="1:17" s="28" customFormat="1" x14ac:dyDescent="0.25">
      <c r="A94" s="44">
        <v>84</v>
      </c>
      <c r="B94" s="50" t="s">
        <v>11</v>
      </c>
      <c r="C94" s="34" t="s">
        <v>88</v>
      </c>
      <c r="D94" s="57" t="s">
        <v>126</v>
      </c>
      <c r="E94" s="82" t="s">
        <v>146</v>
      </c>
      <c r="F94" s="7">
        <v>17</v>
      </c>
      <c r="G94" s="81" t="s">
        <v>198</v>
      </c>
      <c r="H94" s="4">
        <f>12864.5*2</f>
        <v>25729</v>
      </c>
      <c r="I94" s="4">
        <f>643*2</f>
        <v>1286</v>
      </c>
      <c r="J94" s="4">
        <f>528.5*2</f>
        <v>1057</v>
      </c>
      <c r="K94" s="4">
        <v>0</v>
      </c>
      <c r="L94" s="4">
        <f>184.83*2</f>
        <v>369.66</v>
      </c>
      <c r="M94" s="4">
        <f>2448.41*2</f>
        <v>4896.82</v>
      </c>
      <c r="N94" s="4">
        <f>1500.67*2</f>
        <v>3001.34</v>
      </c>
      <c r="O94" s="34" t="s">
        <v>28</v>
      </c>
      <c r="P94" s="45" t="s">
        <v>13</v>
      </c>
    </row>
    <row r="95" spans="1:17" s="28" customFormat="1" x14ac:dyDescent="0.25">
      <c r="A95" s="44">
        <v>85</v>
      </c>
      <c r="B95" s="50" t="s">
        <v>16</v>
      </c>
      <c r="C95" s="34" t="s">
        <v>89</v>
      </c>
      <c r="D95" s="57" t="s">
        <v>126</v>
      </c>
      <c r="E95" s="82" t="s">
        <v>146</v>
      </c>
      <c r="F95" s="7">
        <v>11</v>
      </c>
      <c r="G95" s="81" t="s">
        <v>199</v>
      </c>
      <c r="H95" s="4">
        <f>7366.5*2</f>
        <v>14733</v>
      </c>
      <c r="I95" s="4">
        <f>546.5*2</f>
        <v>1093</v>
      </c>
      <c r="J95" s="4">
        <f>449.5*2</f>
        <v>899</v>
      </c>
      <c r="K95" s="4">
        <v>0</v>
      </c>
      <c r="L95" s="4">
        <f>184.83*2</f>
        <v>369.66</v>
      </c>
      <c r="M95" s="4">
        <f>1187.54*2</f>
        <v>2375.08</v>
      </c>
      <c r="N95" s="4">
        <f>868.4*2</f>
        <v>1736.8</v>
      </c>
      <c r="O95" s="34" t="s">
        <v>23</v>
      </c>
      <c r="P95" s="45" t="s">
        <v>13</v>
      </c>
    </row>
    <row r="96" spans="1:17" s="28" customFormat="1" ht="15.75" thickBot="1" x14ac:dyDescent="0.3">
      <c r="A96" s="44">
        <v>86</v>
      </c>
      <c r="B96" s="88" t="s">
        <v>11</v>
      </c>
      <c r="C96" s="40" t="s">
        <v>90</v>
      </c>
      <c r="D96" s="89" t="s">
        <v>125</v>
      </c>
      <c r="E96" s="90" t="s">
        <v>146</v>
      </c>
      <c r="F96" s="35">
        <v>22</v>
      </c>
      <c r="G96" s="91" t="s">
        <v>200</v>
      </c>
      <c r="H96" s="33">
        <f>21140*2</f>
        <v>42280</v>
      </c>
      <c r="I96" s="33">
        <f>932.5*2</f>
        <v>1865</v>
      </c>
      <c r="J96" s="33">
        <f>672.5*2</f>
        <v>1345</v>
      </c>
      <c r="K96" s="33">
        <v>0</v>
      </c>
      <c r="L96" s="33">
        <f>308.05*2</f>
        <v>616.1</v>
      </c>
      <c r="M96" s="33">
        <f>4798.89*2</f>
        <v>9597.7800000000007</v>
      </c>
      <c r="N96" s="33">
        <f>2466.53*2</f>
        <v>4933.0600000000004</v>
      </c>
      <c r="O96" s="40" t="s">
        <v>39</v>
      </c>
      <c r="P96" s="84" t="s">
        <v>13</v>
      </c>
    </row>
    <row r="97" spans="1:51" x14ac:dyDescent="0.25">
      <c r="A97" s="28"/>
      <c r="B97" s="58"/>
      <c r="C97" s="28"/>
      <c r="D97" s="58"/>
      <c r="E97" s="58"/>
      <c r="F97" s="51"/>
      <c r="G97" s="51"/>
      <c r="H97" s="36"/>
      <c r="I97" s="28"/>
      <c r="J97" s="28"/>
      <c r="K97" s="28"/>
      <c r="L97" s="28"/>
      <c r="M97" s="28"/>
      <c r="N97" s="28"/>
      <c r="O97" s="28"/>
    </row>
    <row r="98" spans="1:51" x14ac:dyDescent="0.25">
      <c r="H98" s="36"/>
    </row>
    <row r="103" spans="1:51" x14ac:dyDescent="0.25">
      <c r="A103" s="28"/>
      <c r="B103" s="58"/>
      <c r="C103" s="28"/>
      <c r="D103" s="58"/>
      <c r="E103" s="58"/>
      <c r="F103" s="51"/>
      <c r="G103" s="5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58"/>
      <c r="C104" s="30"/>
      <c r="D104" s="62"/>
      <c r="E104" s="62"/>
      <c r="F104" s="51"/>
      <c r="G104" s="5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58"/>
      <c r="C105" s="28"/>
      <c r="D105" s="58"/>
      <c r="E105" s="58"/>
      <c r="F105" s="51"/>
      <c r="G105" s="51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58"/>
      <c r="C106" s="28"/>
      <c r="D106" s="58"/>
      <c r="E106" s="58"/>
      <c r="F106" s="51"/>
      <c r="G106" s="51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58"/>
      <c r="C107" s="28"/>
      <c r="D107" s="58"/>
      <c r="E107" s="58"/>
      <c r="F107" s="51"/>
      <c r="G107" s="51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58"/>
      <c r="C108" s="28"/>
      <c r="D108" s="58"/>
      <c r="E108" s="58"/>
      <c r="F108" s="51"/>
      <c r="G108" s="51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58"/>
      <c r="C109" s="28"/>
      <c r="D109" s="58"/>
      <c r="E109" s="58"/>
      <c r="F109" s="51"/>
      <c r="G109" s="51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58"/>
      <c r="C110" s="28"/>
      <c r="D110" s="58"/>
      <c r="E110" s="58"/>
      <c r="F110" s="51"/>
      <c r="G110" s="51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58"/>
      <c r="C111" s="28"/>
      <c r="D111" s="58"/>
      <c r="E111" s="58"/>
      <c r="F111" s="51"/>
      <c r="G111" s="51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58"/>
      <c r="C112" s="28"/>
      <c r="D112" s="58"/>
      <c r="E112" s="58"/>
      <c r="F112" s="51"/>
      <c r="G112" s="51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  <row r="113" spans="1:51" x14ac:dyDescent="0.25">
      <c r="A113" s="28"/>
      <c r="B113" s="58"/>
      <c r="C113" s="28"/>
      <c r="D113" s="58"/>
      <c r="E113" s="58"/>
      <c r="F113" s="51"/>
      <c r="G113" s="51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</row>
    <row r="114" spans="1:51" x14ac:dyDescent="0.25">
      <c r="A114" s="28"/>
      <c r="B114" s="58"/>
      <c r="C114" s="28"/>
      <c r="D114" s="58"/>
      <c r="E114" s="58"/>
      <c r="F114" s="51"/>
      <c r="G114" s="51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</row>
    <row r="115" spans="1:51" x14ac:dyDescent="0.25">
      <c r="A115" s="28"/>
      <c r="B115" s="58"/>
      <c r="C115" s="28"/>
      <c r="D115" s="58"/>
      <c r="E115" s="58"/>
      <c r="F115" s="51"/>
      <c r="G115" s="51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</row>
    <row r="116" spans="1:51" x14ac:dyDescent="0.25">
      <c r="A116" s="28"/>
      <c r="B116" s="58"/>
      <c r="C116" s="28"/>
      <c r="D116" s="58"/>
      <c r="E116" s="58"/>
      <c r="F116" s="51"/>
      <c r="G116" s="51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</row>
    <row r="117" spans="1:51" x14ac:dyDescent="0.25">
      <c r="A117" s="28"/>
      <c r="B117" s="58"/>
      <c r="C117" s="28"/>
      <c r="D117" s="58"/>
      <c r="E117" s="58"/>
      <c r="F117" s="51"/>
      <c r="G117" s="51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</row>
    <row r="118" spans="1:51" x14ac:dyDescent="0.25">
      <c r="A118" s="28"/>
      <c r="B118" s="58"/>
      <c r="C118" s="28"/>
      <c r="D118" s="58"/>
      <c r="E118" s="58"/>
      <c r="F118" s="51"/>
      <c r="G118" s="51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</row>
    <row r="119" spans="1:51" x14ac:dyDescent="0.25">
      <c r="A119" s="28"/>
      <c r="B119" s="58"/>
      <c r="C119" s="28"/>
      <c r="D119" s="58"/>
      <c r="E119" s="58"/>
      <c r="F119" s="51"/>
      <c r="G119" s="51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</row>
    <row r="120" spans="1:51" x14ac:dyDescent="0.25">
      <c r="A120" s="28"/>
      <c r="B120" s="58"/>
      <c r="C120" s="28"/>
      <c r="D120" s="58"/>
      <c r="E120" s="58"/>
      <c r="F120" s="51"/>
      <c r="G120" s="51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</row>
    <row r="121" spans="1:51" x14ac:dyDescent="0.25">
      <c r="A121" s="28"/>
      <c r="B121" s="58"/>
      <c r="C121" s="28"/>
      <c r="D121" s="58"/>
      <c r="E121" s="58"/>
      <c r="F121" s="51"/>
      <c r="G121" s="51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</row>
    <row r="122" spans="1:51" x14ac:dyDescent="0.25">
      <c r="A122" s="28"/>
      <c r="B122" s="58"/>
      <c r="C122" s="28"/>
      <c r="D122" s="58"/>
      <c r="E122" s="58"/>
      <c r="F122" s="51"/>
      <c r="G122" s="51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</row>
    <row r="123" spans="1:51" x14ac:dyDescent="0.25">
      <c r="A123" s="28"/>
      <c r="B123" s="58"/>
      <c r="C123" s="28"/>
      <c r="D123" s="58"/>
      <c r="E123" s="58"/>
      <c r="F123" s="51"/>
      <c r="G123" s="51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</row>
    <row r="124" spans="1:51" x14ac:dyDescent="0.25">
      <c r="A124" s="28"/>
      <c r="B124" s="58"/>
      <c r="C124" s="28"/>
      <c r="D124" s="58"/>
      <c r="E124" s="58"/>
      <c r="F124" s="51"/>
      <c r="G124" s="51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</row>
    <row r="125" spans="1:51" x14ac:dyDescent="0.25">
      <c r="A125" s="28"/>
      <c r="B125" s="58"/>
      <c r="C125" s="28"/>
      <c r="D125" s="58"/>
      <c r="E125" s="58"/>
      <c r="F125" s="51"/>
      <c r="G125" s="51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</row>
    <row r="126" spans="1:51" x14ac:dyDescent="0.25">
      <c r="A126" s="28"/>
      <c r="B126" s="58"/>
      <c r="C126" s="28"/>
      <c r="D126" s="58"/>
      <c r="E126" s="58"/>
      <c r="F126" s="51"/>
      <c r="G126" s="51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</row>
    <row r="127" spans="1:51" x14ac:dyDescent="0.25">
      <c r="A127" s="28"/>
      <c r="B127" s="58"/>
      <c r="C127" s="28"/>
      <c r="D127" s="58"/>
      <c r="E127" s="58"/>
      <c r="F127" s="51"/>
      <c r="G127" s="51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</row>
    <row r="128" spans="1:51" x14ac:dyDescent="0.25">
      <c r="A128" s="28"/>
      <c r="B128" s="58"/>
      <c r="C128" s="28"/>
      <c r="D128" s="58"/>
      <c r="E128" s="58"/>
      <c r="F128" s="51"/>
      <c r="G128" s="51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</row>
    <row r="129" spans="1:51" x14ac:dyDescent="0.25">
      <c r="A129" s="28"/>
      <c r="B129" s="58"/>
      <c r="C129" s="28"/>
      <c r="D129" s="58"/>
      <c r="E129" s="58"/>
      <c r="F129" s="51"/>
      <c r="G129" s="51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</row>
    <row r="130" spans="1:51" x14ac:dyDescent="0.25">
      <c r="A130" s="28"/>
      <c r="B130" s="58"/>
      <c r="C130" s="28"/>
      <c r="D130" s="58"/>
      <c r="E130" s="58"/>
      <c r="F130" s="51"/>
      <c r="G130" s="51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</row>
    <row r="131" spans="1:51" x14ac:dyDescent="0.25">
      <c r="A131" s="28"/>
      <c r="B131" s="58"/>
      <c r="C131" s="28"/>
      <c r="D131" s="58"/>
      <c r="E131" s="58"/>
      <c r="F131" s="51"/>
      <c r="G131" s="51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</row>
    <row r="132" spans="1:51" x14ac:dyDescent="0.25">
      <c r="A132" s="28"/>
      <c r="B132" s="58"/>
      <c r="C132" s="28"/>
      <c r="D132" s="58"/>
      <c r="E132" s="58"/>
      <c r="F132" s="51"/>
      <c r="G132" s="51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</row>
    <row r="133" spans="1:51" x14ac:dyDescent="0.25">
      <c r="A133" s="28"/>
      <c r="B133" s="58"/>
      <c r="C133" s="28"/>
      <c r="D133" s="58"/>
      <c r="E133" s="58"/>
      <c r="F133" s="51"/>
      <c r="G133" s="51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</row>
    <row r="134" spans="1:51" x14ac:dyDescent="0.25">
      <c r="A134" s="28"/>
      <c r="B134" s="58"/>
      <c r="C134" s="28"/>
      <c r="D134" s="58"/>
      <c r="E134" s="58"/>
      <c r="F134" s="51"/>
      <c r="G134" s="51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</row>
    <row r="135" spans="1:51" x14ac:dyDescent="0.25">
      <c r="A135" s="28"/>
      <c r="B135" s="58"/>
      <c r="C135" s="28"/>
      <c r="D135" s="58"/>
      <c r="E135" s="58"/>
      <c r="F135" s="51"/>
      <c r="G135" s="51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</row>
    <row r="136" spans="1:51" x14ac:dyDescent="0.25">
      <c r="A136" s="28"/>
      <c r="B136" s="58"/>
      <c r="C136" s="28"/>
      <c r="D136" s="58"/>
      <c r="E136" s="58"/>
      <c r="F136" s="51"/>
      <c r="G136" s="51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</row>
    <row r="137" spans="1:51" x14ac:dyDescent="0.25">
      <c r="A137" s="28"/>
      <c r="B137" s="58"/>
      <c r="C137" s="28"/>
      <c r="D137" s="58"/>
      <c r="E137" s="58"/>
      <c r="F137" s="51"/>
      <c r="G137" s="51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</row>
    <row r="138" spans="1:51" x14ac:dyDescent="0.25">
      <c r="A138" s="28"/>
      <c r="B138" s="58"/>
      <c r="C138" s="28"/>
      <c r="D138" s="58"/>
      <c r="E138" s="58"/>
      <c r="F138" s="51"/>
      <c r="G138" s="51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</row>
    <row r="139" spans="1:51" x14ac:dyDescent="0.25">
      <c r="A139" s="28"/>
      <c r="B139" s="58"/>
      <c r="C139" s="28"/>
      <c r="D139" s="58"/>
      <c r="E139" s="58"/>
      <c r="F139" s="51"/>
      <c r="G139" s="51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</row>
    <row r="140" spans="1:51" x14ac:dyDescent="0.25">
      <c r="A140" s="28"/>
      <c r="B140" s="58"/>
      <c r="C140" s="28"/>
      <c r="D140" s="58"/>
      <c r="E140" s="58"/>
      <c r="F140" s="51"/>
      <c r="G140" s="51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</row>
    <row r="141" spans="1:51" x14ac:dyDescent="0.25">
      <c r="A141" s="28"/>
      <c r="B141" s="58"/>
      <c r="C141" s="28"/>
      <c r="D141" s="58"/>
      <c r="E141" s="58"/>
      <c r="F141" s="51"/>
      <c r="G141" s="51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</row>
    <row r="142" spans="1:51" x14ac:dyDescent="0.25">
      <c r="A142" s="28"/>
      <c r="B142" s="58"/>
      <c r="C142" s="28"/>
      <c r="D142" s="58"/>
      <c r="E142" s="58"/>
      <c r="F142" s="51"/>
      <c r="G142" s="51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</row>
    <row r="143" spans="1:51" x14ac:dyDescent="0.25">
      <c r="A143" s="28"/>
      <c r="B143" s="58"/>
      <c r="C143" s="28"/>
      <c r="D143" s="58"/>
      <c r="E143" s="58"/>
      <c r="F143" s="51"/>
      <c r="G143" s="51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</row>
    <row r="144" spans="1:51" x14ac:dyDescent="0.25">
      <c r="A144" s="28"/>
      <c r="B144" s="58"/>
      <c r="C144" s="28"/>
      <c r="D144" s="58"/>
      <c r="E144" s="58"/>
      <c r="F144" s="51"/>
      <c r="G144" s="51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</row>
    <row r="145" spans="1:51" x14ac:dyDescent="0.25">
      <c r="A145" s="28"/>
      <c r="B145" s="58"/>
      <c r="C145" s="28"/>
      <c r="D145" s="58"/>
      <c r="E145" s="58"/>
      <c r="F145" s="51"/>
      <c r="G145" s="51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</row>
    <row r="146" spans="1:51" x14ac:dyDescent="0.25">
      <c r="A146" s="28"/>
      <c r="B146" s="58"/>
      <c r="C146" s="28"/>
      <c r="D146" s="58"/>
      <c r="E146" s="58"/>
      <c r="F146" s="51"/>
      <c r="G146" s="51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</row>
    <row r="147" spans="1:51" x14ac:dyDescent="0.25">
      <c r="A147" s="28"/>
      <c r="B147" s="58"/>
      <c r="C147" s="28"/>
      <c r="D147" s="58"/>
      <c r="E147" s="58"/>
      <c r="F147" s="51"/>
      <c r="G147" s="51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</row>
    <row r="148" spans="1:51" x14ac:dyDescent="0.25">
      <c r="A148" s="28"/>
      <c r="B148" s="58"/>
      <c r="C148" s="28"/>
      <c r="D148" s="58"/>
      <c r="E148" s="58"/>
      <c r="F148" s="51"/>
      <c r="G148" s="51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</row>
    <row r="149" spans="1:51" x14ac:dyDescent="0.25">
      <c r="A149" s="28"/>
      <c r="B149" s="58"/>
      <c r="C149" s="28"/>
      <c r="D149" s="58"/>
      <c r="E149" s="58"/>
      <c r="F149" s="51"/>
      <c r="G149" s="51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</row>
    <row r="150" spans="1:51" x14ac:dyDescent="0.25">
      <c r="A150" s="28"/>
      <c r="B150" s="58"/>
      <c r="C150" s="28"/>
      <c r="D150" s="58"/>
      <c r="E150" s="58"/>
      <c r="F150" s="51"/>
      <c r="G150" s="51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</row>
    <row r="151" spans="1:51" x14ac:dyDescent="0.25">
      <c r="A151" s="28"/>
      <c r="B151" s="58"/>
      <c r="C151" s="28"/>
      <c r="D151" s="58"/>
      <c r="E151" s="58"/>
      <c r="F151" s="51"/>
      <c r="G151" s="51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</row>
    <row r="152" spans="1:51" x14ac:dyDescent="0.25">
      <c r="A152" s="28"/>
      <c r="B152" s="58"/>
      <c r="C152" s="28"/>
      <c r="D152" s="58"/>
      <c r="E152" s="58"/>
      <c r="F152" s="51"/>
      <c r="G152" s="51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</row>
    <row r="153" spans="1:51" x14ac:dyDescent="0.25">
      <c r="A153" s="28"/>
      <c r="B153" s="58"/>
      <c r="C153" s="28"/>
      <c r="D153" s="58"/>
      <c r="E153" s="58"/>
      <c r="F153" s="51"/>
      <c r="G153" s="51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</row>
    <row r="154" spans="1:51" x14ac:dyDescent="0.25">
      <c r="A154" s="28"/>
      <c r="B154" s="58"/>
      <c r="C154" s="28"/>
      <c r="D154" s="58"/>
      <c r="E154" s="58"/>
      <c r="F154" s="51"/>
      <c r="G154" s="51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</row>
    <row r="155" spans="1:51" x14ac:dyDescent="0.25">
      <c r="A155" s="28"/>
      <c r="B155" s="58"/>
      <c r="C155" s="28"/>
      <c r="D155" s="58"/>
      <c r="E155" s="58"/>
      <c r="F155" s="51"/>
      <c r="G155" s="51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</row>
    <row r="156" spans="1:51" x14ac:dyDescent="0.25">
      <c r="A156" s="28"/>
      <c r="B156" s="58"/>
      <c r="C156" s="28"/>
      <c r="D156" s="58"/>
      <c r="E156" s="58"/>
      <c r="F156" s="51"/>
      <c r="G156" s="51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</row>
    <row r="157" spans="1:51" x14ac:dyDescent="0.25">
      <c r="A157" s="28"/>
      <c r="B157" s="58"/>
      <c r="C157" s="28"/>
      <c r="D157" s="58"/>
      <c r="E157" s="58"/>
      <c r="F157" s="51"/>
      <c r="G157" s="51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</row>
    <row r="158" spans="1:51" x14ac:dyDescent="0.25">
      <c r="A158" s="28"/>
      <c r="B158" s="58"/>
      <c r="C158" s="28"/>
      <c r="D158" s="58"/>
      <c r="E158" s="58"/>
      <c r="F158" s="51"/>
      <c r="G158" s="51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</row>
    <row r="159" spans="1:51" x14ac:dyDescent="0.25">
      <c r="A159" s="28"/>
      <c r="B159" s="58"/>
      <c r="C159" s="28"/>
      <c r="D159" s="58"/>
      <c r="E159" s="58"/>
      <c r="F159" s="51"/>
      <c r="G159" s="51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</row>
    <row r="160" spans="1:51" x14ac:dyDescent="0.25">
      <c r="A160" s="28"/>
      <c r="B160" s="58"/>
      <c r="C160" s="28"/>
      <c r="D160" s="58"/>
      <c r="E160" s="58"/>
      <c r="F160" s="51"/>
      <c r="G160" s="51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</row>
    <row r="161" spans="1:51" x14ac:dyDescent="0.25">
      <c r="A161" s="28"/>
      <c r="B161" s="58"/>
      <c r="C161" s="28"/>
      <c r="D161" s="58"/>
      <c r="E161" s="58"/>
      <c r="F161" s="51"/>
      <c r="G161" s="51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</row>
    <row r="162" spans="1:51" x14ac:dyDescent="0.25">
      <c r="A162" s="28"/>
      <c r="B162" s="58"/>
      <c r="C162" s="28"/>
      <c r="D162" s="58"/>
      <c r="E162" s="58"/>
      <c r="F162" s="51"/>
      <c r="G162" s="51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</row>
    <row r="163" spans="1:51" x14ac:dyDescent="0.25">
      <c r="A163" s="28"/>
      <c r="B163" s="58"/>
      <c r="C163" s="28"/>
      <c r="D163" s="58"/>
      <c r="E163" s="58"/>
      <c r="F163" s="51"/>
      <c r="G163" s="51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</row>
    <row r="164" spans="1:51" x14ac:dyDescent="0.25">
      <c r="A164" s="28"/>
      <c r="B164" s="58"/>
      <c r="C164" s="28"/>
      <c r="D164" s="58"/>
      <c r="E164" s="58"/>
      <c r="F164" s="51"/>
      <c r="G164" s="51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</row>
    <row r="165" spans="1:51" x14ac:dyDescent="0.25">
      <c r="A165" s="28"/>
      <c r="B165" s="58"/>
      <c r="C165" s="28"/>
      <c r="D165" s="58"/>
      <c r="E165" s="58"/>
      <c r="F165" s="51"/>
      <c r="G165" s="51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</row>
    <row r="166" spans="1:51" x14ac:dyDescent="0.25">
      <c r="A166" s="28"/>
      <c r="B166" s="58"/>
      <c r="C166" s="28"/>
      <c r="D166" s="58"/>
      <c r="E166" s="58"/>
      <c r="F166" s="51"/>
      <c r="G166" s="51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</row>
    <row r="167" spans="1:51" x14ac:dyDescent="0.25">
      <c r="A167" s="28"/>
      <c r="B167" s="58"/>
      <c r="C167" s="28"/>
      <c r="D167" s="58"/>
      <c r="E167" s="58"/>
      <c r="F167" s="51"/>
      <c r="G167" s="51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</row>
    <row r="168" spans="1:51" x14ac:dyDescent="0.25">
      <c r="A168" s="28"/>
      <c r="B168" s="58"/>
      <c r="C168" s="28"/>
      <c r="D168" s="58"/>
      <c r="E168" s="58"/>
      <c r="F168" s="51"/>
      <c r="G168" s="51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</row>
    <row r="169" spans="1:51" x14ac:dyDescent="0.25">
      <c r="A169" s="28"/>
      <c r="B169" s="58"/>
      <c r="C169" s="28"/>
      <c r="D169" s="58"/>
      <c r="E169" s="58"/>
      <c r="F169" s="51"/>
      <c r="G169" s="51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</row>
    <row r="170" spans="1:51" x14ac:dyDescent="0.25">
      <c r="A170" s="28"/>
      <c r="B170" s="58"/>
      <c r="C170" s="28"/>
      <c r="D170" s="58"/>
      <c r="E170" s="58"/>
      <c r="F170" s="51"/>
      <c r="G170" s="51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</row>
    <row r="171" spans="1:51" x14ac:dyDescent="0.25">
      <c r="A171" s="28"/>
      <c r="B171" s="58"/>
      <c r="C171" s="28"/>
      <c r="D171" s="58"/>
      <c r="E171" s="58"/>
      <c r="F171" s="51"/>
      <c r="G171" s="51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</row>
    <row r="172" spans="1:51" x14ac:dyDescent="0.25">
      <c r="A172" s="28"/>
      <c r="B172" s="58"/>
      <c r="C172" s="28"/>
      <c r="D172" s="58"/>
      <c r="E172" s="58"/>
      <c r="F172" s="51"/>
      <c r="G172" s="51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</row>
    <row r="173" spans="1:51" x14ac:dyDescent="0.25">
      <c r="A173" s="28"/>
      <c r="B173" s="58"/>
      <c r="C173" s="28"/>
      <c r="D173" s="58"/>
      <c r="E173" s="58"/>
      <c r="F173" s="51"/>
      <c r="G173" s="51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</row>
    <row r="174" spans="1:51" x14ac:dyDescent="0.25">
      <c r="A174" s="28"/>
      <c r="B174" s="58"/>
      <c r="C174" s="28"/>
      <c r="D174" s="58"/>
      <c r="E174" s="58"/>
      <c r="F174" s="51"/>
      <c r="G174" s="51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</row>
    <row r="175" spans="1:51" x14ac:dyDescent="0.25">
      <c r="A175" s="28"/>
      <c r="B175" s="58"/>
      <c r="C175" s="28"/>
      <c r="D175" s="58"/>
      <c r="E175" s="58"/>
      <c r="F175" s="51"/>
      <c r="G175" s="51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</row>
    <row r="176" spans="1:51" x14ac:dyDescent="0.25">
      <c r="A176" s="28"/>
      <c r="B176" s="58"/>
      <c r="C176" s="28"/>
      <c r="D176" s="58"/>
      <c r="E176" s="58"/>
      <c r="F176" s="51"/>
      <c r="G176" s="51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</row>
    <row r="177" spans="1:51" x14ac:dyDescent="0.25">
      <c r="A177" s="28"/>
      <c r="B177" s="58"/>
      <c r="C177" s="28"/>
      <c r="D177" s="58"/>
      <c r="E177" s="58"/>
      <c r="F177" s="51"/>
      <c r="G177" s="51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</row>
    <row r="178" spans="1:51" x14ac:dyDescent="0.25">
      <c r="A178" s="28"/>
      <c r="B178" s="58"/>
      <c r="C178" s="28"/>
      <c r="D178" s="58"/>
      <c r="E178" s="58"/>
      <c r="F178" s="51"/>
      <c r="G178" s="51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</row>
    <row r="179" spans="1:51" x14ac:dyDescent="0.25">
      <c r="A179" s="28"/>
      <c r="B179" s="58"/>
      <c r="C179" s="28"/>
      <c r="D179" s="58"/>
      <c r="E179" s="58"/>
      <c r="F179" s="51"/>
      <c r="G179" s="51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</row>
    <row r="180" spans="1:51" x14ac:dyDescent="0.25">
      <c r="A180" s="28"/>
      <c r="B180" s="58"/>
      <c r="C180" s="28"/>
      <c r="D180" s="58"/>
      <c r="E180" s="58"/>
      <c r="F180" s="51"/>
      <c r="G180" s="51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</row>
    <row r="181" spans="1:51" x14ac:dyDescent="0.25">
      <c r="A181" s="28"/>
      <c r="B181" s="58"/>
      <c r="C181" s="28"/>
      <c r="D181" s="58"/>
      <c r="E181" s="58"/>
      <c r="F181" s="51"/>
      <c r="G181" s="51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</row>
    <row r="182" spans="1:51" x14ac:dyDescent="0.25">
      <c r="A182" s="28"/>
      <c r="B182" s="58"/>
      <c r="C182" s="28"/>
      <c r="D182" s="58"/>
      <c r="E182" s="58"/>
      <c r="F182" s="51"/>
      <c r="G182" s="51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</row>
    <row r="183" spans="1:51" x14ac:dyDescent="0.25">
      <c r="A183" s="28"/>
      <c r="B183" s="58"/>
      <c r="C183" s="28"/>
      <c r="D183" s="58"/>
      <c r="E183" s="58"/>
      <c r="F183" s="51"/>
      <c r="G183" s="51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1" x14ac:dyDescent="0.25">
      <c r="A184" s="28"/>
      <c r="B184" s="58"/>
      <c r="C184" s="28"/>
      <c r="D184" s="58"/>
      <c r="E184" s="58"/>
      <c r="F184" s="51"/>
      <c r="G184" s="51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1" x14ac:dyDescent="0.25">
      <c r="A185" s="28"/>
      <c r="B185" s="58"/>
      <c r="C185" s="28"/>
      <c r="D185" s="58"/>
      <c r="E185" s="58"/>
      <c r="F185" s="51"/>
      <c r="G185" s="51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1" x14ac:dyDescent="0.25">
      <c r="A186" s="28"/>
      <c r="B186" s="58"/>
      <c r="C186" s="28"/>
      <c r="D186" s="58"/>
      <c r="E186" s="58"/>
      <c r="F186" s="51"/>
      <c r="G186" s="51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1" x14ac:dyDescent="0.25">
      <c r="A187" s="28"/>
      <c r="B187" s="58"/>
      <c r="C187" s="28"/>
      <c r="D187" s="58"/>
      <c r="E187" s="58"/>
      <c r="F187" s="51"/>
      <c r="G187" s="51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</row>
    <row r="188" spans="1:51" x14ac:dyDescent="0.25">
      <c r="A188" s="28"/>
      <c r="B188" s="58"/>
      <c r="C188" s="28"/>
      <c r="D188" s="58"/>
      <c r="E188" s="58"/>
      <c r="F188" s="51"/>
      <c r="G188" s="51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</row>
    <row r="189" spans="1:51" x14ac:dyDescent="0.25">
      <c r="A189" s="28"/>
      <c r="B189" s="58"/>
      <c r="C189" s="28"/>
      <c r="D189" s="58"/>
      <c r="E189" s="58"/>
      <c r="F189" s="51"/>
      <c r="G189" s="51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</row>
    <row r="190" spans="1:51" x14ac:dyDescent="0.25">
      <c r="A190" s="28"/>
      <c r="B190" s="58"/>
      <c r="C190" s="28"/>
      <c r="D190" s="58"/>
      <c r="E190" s="58"/>
      <c r="F190" s="51"/>
      <c r="G190" s="51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</row>
    <row r="191" spans="1:51" x14ac:dyDescent="0.25">
      <c r="A191" s="28"/>
      <c r="B191" s="58"/>
      <c r="C191" s="28"/>
      <c r="D191" s="58"/>
      <c r="E191" s="58"/>
      <c r="F191" s="51"/>
      <c r="G191" s="51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</row>
    <row r="192" spans="1:51" x14ac:dyDescent="0.25">
      <c r="A192" s="28"/>
      <c r="B192" s="58"/>
      <c r="C192" s="28"/>
      <c r="D192" s="58"/>
      <c r="E192" s="58"/>
      <c r="F192" s="51"/>
      <c r="G192" s="51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</row>
    <row r="193" spans="1:51" x14ac:dyDescent="0.25">
      <c r="A193" s="28"/>
      <c r="B193" s="58"/>
      <c r="C193" s="28"/>
      <c r="D193" s="58"/>
      <c r="E193" s="58"/>
      <c r="F193" s="51"/>
      <c r="G193" s="51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</row>
    <row r="194" spans="1:51" x14ac:dyDescent="0.25">
      <c r="A194" s="28"/>
      <c r="B194" s="58"/>
      <c r="C194" s="28"/>
      <c r="D194" s="58"/>
      <c r="E194" s="58"/>
      <c r="F194" s="51"/>
      <c r="G194" s="51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</row>
    <row r="195" spans="1:51" x14ac:dyDescent="0.25">
      <c r="A195" s="28"/>
      <c r="B195" s="58"/>
      <c r="C195" s="28"/>
      <c r="D195" s="58"/>
      <c r="E195" s="58"/>
      <c r="F195" s="51"/>
      <c r="G195" s="51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</row>
    <row r="196" spans="1:51" x14ac:dyDescent="0.25">
      <c r="A196" s="28"/>
      <c r="B196" s="58"/>
      <c r="C196" s="28"/>
      <c r="D196" s="58"/>
      <c r="E196" s="58"/>
      <c r="F196" s="51"/>
      <c r="G196" s="51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</row>
    <row r="197" spans="1:51" x14ac:dyDescent="0.25">
      <c r="A197" s="28"/>
      <c r="B197" s="58"/>
      <c r="C197" s="28"/>
      <c r="D197" s="58"/>
      <c r="E197" s="58"/>
      <c r="F197" s="51"/>
      <c r="G197" s="51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</row>
    <row r="198" spans="1:51" x14ac:dyDescent="0.25">
      <c r="A198" s="28"/>
      <c r="B198" s="58"/>
      <c r="C198" s="28"/>
      <c r="D198" s="58"/>
      <c r="E198" s="58"/>
      <c r="F198" s="51"/>
      <c r="G198" s="51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</row>
    <row r="199" spans="1:51" x14ac:dyDescent="0.25">
      <c r="A199" s="28"/>
      <c r="B199" s="58"/>
      <c r="C199" s="28"/>
      <c r="D199" s="58"/>
      <c r="E199" s="58"/>
      <c r="F199" s="51"/>
      <c r="G199" s="51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</row>
    <row r="200" spans="1:51" x14ac:dyDescent="0.25">
      <c r="A200" s="28"/>
      <c r="B200" s="58"/>
      <c r="C200" s="28"/>
      <c r="D200" s="58"/>
      <c r="E200" s="58"/>
      <c r="F200" s="51"/>
      <c r="G200" s="51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</row>
    <row r="201" spans="1:51" x14ac:dyDescent="0.25">
      <c r="A201" s="28"/>
      <c r="B201" s="58"/>
      <c r="C201" s="28"/>
      <c r="D201" s="58"/>
      <c r="E201" s="58"/>
      <c r="F201" s="51"/>
      <c r="G201" s="51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</row>
    <row r="202" spans="1:51" x14ac:dyDescent="0.25">
      <c r="A202" s="28"/>
      <c r="B202" s="58"/>
      <c r="C202" s="28"/>
      <c r="D202" s="58"/>
      <c r="E202" s="58"/>
      <c r="F202" s="51"/>
      <c r="G202" s="51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</row>
    <row r="203" spans="1:51" x14ac:dyDescent="0.25">
      <c r="A203" s="28"/>
      <c r="B203" s="58"/>
      <c r="C203" s="28"/>
      <c r="D203" s="58"/>
      <c r="E203" s="58"/>
      <c r="F203" s="51"/>
      <c r="G203" s="51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</row>
    <row r="204" spans="1:51" x14ac:dyDescent="0.25">
      <c r="A204" s="28"/>
      <c r="B204" s="58"/>
      <c r="C204" s="28"/>
      <c r="D204" s="58"/>
      <c r="E204" s="58"/>
      <c r="F204" s="51"/>
      <c r="G204" s="51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</row>
    <row r="205" spans="1:51" x14ac:dyDescent="0.25">
      <c r="A205" s="28"/>
      <c r="B205" s="58"/>
      <c r="C205" s="28"/>
      <c r="D205" s="58"/>
      <c r="E205" s="58"/>
      <c r="F205" s="51"/>
      <c r="G205" s="51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</row>
    <row r="206" spans="1:51" x14ac:dyDescent="0.25">
      <c r="A206" s="28"/>
      <c r="B206" s="58"/>
      <c r="C206" s="28"/>
      <c r="D206" s="58"/>
      <c r="E206" s="58"/>
      <c r="F206" s="51"/>
      <c r="G206" s="51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</row>
    <row r="207" spans="1:51" x14ac:dyDescent="0.25">
      <c r="A207" s="28"/>
      <c r="B207" s="58"/>
      <c r="C207" s="28"/>
      <c r="D207" s="58"/>
      <c r="E207" s="58"/>
      <c r="F207" s="51"/>
      <c r="G207" s="51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</row>
    <row r="208" spans="1:51" x14ac:dyDescent="0.25">
      <c r="A208" s="28"/>
      <c r="B208" s="58"/>
      <c r="C208" s="28"/>
      <c r="D208" s="58"/>
      <c r="E208" s="58"/>
      <c r="F208" s="51"/>
      <c r="G208" s="51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</row>
    <row r="209" spans="1:51" x14ac:dyDescent="0.25">
      <c r="A209" s="28"/>
      <c r="B209" s="58"/>
      <c r="C209" s="28"/>
      <c r="D209" s="58"/>
      <c r="E209" s="58"/>
      <c r="F209" s="51"/>
      <c r="G209" s="51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</row>
    <row r="210" spans="1:51" x14ac:dyDescent="0.25">
      <c r="A210" s="28"/>
      <c r="B210" s="58"/>
      <c r="C210" s="28"/>
      <c r="D210" s="58"/>
      <c r="E210" s="58"/>
      <c r="F210" s="51"/>
      <c r="G210" s="5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</row>
    <row r="211" spans="1:51" x14ac:dyDescent="0.25">
      <c r="A211" s="28"/>
      <c r="B211" s="58"/>
      <c r="C211" s="28"/>
      <c r="D211" s="58"/>
      <c r="E211" s="58"/>
      <c r="F211" s="51"/>
      <c r="G211" s="51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</row>
    <row r="212" spans="1:51" x14ac:dyDescent="0.25">
      <c r="A212" s="28"/>
      <c r="B212" s="58"/>
      <c r="C212" s="28"/>
      <c r="D212" s="58"/>
      <c r="E212" s="58"/>
      <c r="F212" s="51"/>
      <c r="G212" s="51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</row>
    <row r="213" spans="1:51" x14ac:dyDescent="0.25">
      <c r="A213" s="28"/>
      <c r="B213" s="58"/>
      <c r="C213" s="28"/>
      <c r="D213" s="58"/>
      <c r="E213" s="58"/>
      <c r="F213" s="51"/>
      <c r="G213" s="51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</row>
    <row r="214" spans="1:51" x14ac:dyDescent="0.25">
      <c r="A214" s="28"/>
      <c r="B214" s="58"/>
      <c r="C214" s="28"/>
      <c r="D214" s="58"/>
      <c r="E214" s="58"/>
      <c r="F214" s="51"/>
      <c r="G214" s="51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</row>
    <row r="215" spans="1:51" x14ac:dyDescent="0.25">
      <c r="A215" s="28"/>
      <c r="B215" s="58"/>
      <c r="C215" s="28"/>
      <c r="D215" s="58"/>
      <c r="E215" s="58"/>
      <c r="F215" s="51"/>
      <c r="G215" s="51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</row>
    <row r="216" spans="1:51" x14ac:dyDescent="0.25">
      <c r="A216" s="28"/>
      <c r="B216" s="58"/>
      <c r="C216" s="28"/>
      <c r="D216" s="58"/>
      <c r="E216" s="58"/>
      <c r="F216" s="51"/>
      <c r="G216" s="51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</row>
    <row r="217" spans="1:51" x14ac:dyDescent="0.25">
      <c r="A217" s="28"/>
      <c r="B217" s="58"/>
      <c r="C217" s="28"/>
      <c r="D217" s="58"/>
      <c r="E217" s="58"/>
      <c r="F217" s="51"/>
      <c r="G217" s="51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</row>
    <row r="218" spans="1:51" x14ac:dyDescent="0.25">
      <c r="A218" s="28"/>
      <c r="B218" s="58"/>
      <c r="C218" s="28"/>
      <c r="D218" s="58"/>
      <c r="E218" s="58"/>
      <c r="F218" s="51"/>
      <c r="G218" s="5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</row>
    <row r="219" spans="1:51" x14ac:dyDescent="0.25">
      <c r="A219" s="28"/>
      <c r="B219" s="58"/>
      <c r="C219" s="28"/>
      <c r="D219" s="58"/>
      <c r="E219" s="58"/>
      <c r="F219" s="51"/>
      <c r="G219" s="51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</row>
    <row r="220" spans="1:51" x14ac:dyDescent="0.25">
      <c r="A220" s="28"/>
      <c r="B220" s="58"/>
      <c r="C220" s="28"/>
      <c r="D220" s="58"/>
      <c r="E220" s="58"/>
      <c r="F220" s="51"/>
      <c r="G220" s="51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</row>
    <row r="221" spans="1:51" x14ac:dyDescent="0.25">
      <c r="A221" s="28"/>
      <c r="B221" s="58"/>
      <c r="C221" s="28"/>
      <c r="D221" s="58"/>
      <c r="E221" s="58"/>
      <c r="F221" s="51"/>
      <c r="G221" s="51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</row>
    <row r="222" spans="1:51" x14ac:dyDescent="0.25">
      <c r="A222" s="28"/>
      <c r="B222" s="58"/>
      <c r="C222" s="28"/>
      <c r="D222" s="58"/>
      <c r="E222" s="58"/>
      <c r="F222" s="51"/>
      <c r="G222" s="51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</row>
    <row r="223" spans="1:51" x14ac:dyDescent="0.25">
      <c r="A223" s="28"/>
      <c r="B223" s="58"/>
      <c r="C223" s="28"/>
      <c r="D223" s="58"/>
      <c r="E223" s="58"/>
      <c r="F223" s="51"/>
      <c r="G223" s="51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</row>
    <row r="224" spans="1:51" x14ac:dyDescent="0.25">
      <c r="A224" s="28"/>
      <c r="B224" s="58"/>
      <c r="C224" s="28"/>
      <c r="D224" s="58"/>
      <c r="E224" s="58"/>
      <c r="F224" s="51"/>
      <c r="G224" s="51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</row>
    <row r="225" spans="1:51" x14ac:dyDescent="0.25">
      <c r="A225" s="28"/>
      <c r="B225" s="58"/>
      <c r="C225" s="28"/>
      <c r="D225" s="58"/>
      <c r="E225" s="58"/>
      <c r="F225" s="51"/>
      <c r="G225" s="51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</row>
    <row r="226" spans="1:51" x14ac:dyDescent="0.25">
      <c r="A226" s="28"/>
      <c r="B226" s="58"/>
      <c r="C226" s="28"/>
      <c r="D226" s="58"/>
      <c r="E226" s="58"/>
      <c r="F226" s="51"/>
      <c r="G226" s="51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</row>
    <row r="227" spans="1:51" x14ac:dyDescent="0.25">
      <c r="A227" s="28"/>
      <c r="B227" s="58"/>
      <c r="C227" s="28"/>
      <c r="D227" s="58"/>
      <c r="E227" s="58"/>
      <c r="F227" s="51"/>
      <c r="G227" s="51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</row>
    <row r="228" spans="1:51" x14ac:dyDescent="0.25">
      <c r="A228" s="28"/>
      <c r="B228" s="58"/>
      <c r="C228" s="28"/>
      <c r="D228" s="58"/>
      <c r="E228" s="58"/>
      <c r="F228" s="51"/>
      <c r="G228" s="51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</row>
    <row r="229" spans="1:51" x14ac:dyDescent="0.25">
      <c r="A229" s="28"/>
      <c r="B229" s="58"/>
      <c r="C229" s="28"/>
      <c r="D229" s="58"/>
      <c r="E229" s="58"/>
      <c r="F229" s="51"/>
      <c r="G229" s="51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</row>
    <row r="230" spans="1:51" x14ac:dyDescent="0.25">
      <c r="A230" s="28"/>
      <c r="B230" s="58"/>
      <c r="C230" s="28"/>
      <c r="D230" s="58"/>
      <c r="E230" s="58"/>
      <c r="F230" s="51"/>
      <c r="G230" s="51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</row>
    <row r="231" spans="1:51" x14ac:dyDescent="0.25">
      <c r="A231" s="28"/>
      <c r="B231" s="58"/>
      <c r="C231" s="28"/>
      <c r="D231" s="58"/>
      <c r="E231" s="58"/>
      <c r="F231" s="51"/>
      <c r="G231" s="51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</row>
    <row r="232" spans="1:51" x14ac:dyDescent="0.25">
      <c r="A232" s="28"/>
      <c r="B232" s="58"/>
      <c r="C232" s="28"/>
      <c r="D232" s="58"/>
      <c r="E232" s="58"/>
      <c r="F232" s="51"/>
      <c r="G232" s="51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</row>
    <row r="233" spans="1:51" x14ac:dyDescent="0.25">
      <c r="A233" s="28"/>
      <c r="B233" s="58"/>
      <c r="C233" s="28"/>
      <c r="D233" s="58"/>
      <c r="E233" s="58"/>
      <c r="F233" s="51"/>
      <c r="G233" s="51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</row>
    <row r="234" spans="1:51" x14ac:dyDescent="0.25">
      <c r="A234" s="28"/>
      <c r="B234" s="58"/>
      <c r="C234" s="28"/>
      <c r="D234" s="58"/>
      <c r="E234" s="58"/>
      <c r="F234" s="51"/>
      <c r="G234" s="51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</row>
    <row r="235" spans="1:51" x14ac:dyDescent="0.25">
      <c r="A235" s="28"/>
      <c r="B235" s="58"/>
      <c r="C235" s="28"/>
      <c r="D235" s="58"/>
      <c r="E235" s="58"/>
      <c r="F235" s="51"/>
      <c r="G235" s="51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</row>
    <row r="236" spans="1:51" x14ac:dyDescent="0.25">
      <c r="A236" s="28"/>
      <c r="B236" s="58"/>
      <c r="C236" s="28"/>
      <c r="D236" s="58"/>
      <c r="E236" s="58"/>
      <c r="F236" s="51"/>
      <c r="G236" s="51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</row>
    <row r="237" spans="1:51" x14ac:dyDescent="0.25">
      <c r="A237" s="28"/>
      <c r="B237" s="58"/>
      <c r="C237" s="28"/>
      <c r="D237" s="58"/>
      <c r="E237" s="58"/>
      <c r="F237" s="51"/>
      <c r="G237" s="51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</row>
    <row r="238" spans="1:51" x14ac:dyDescent="0.25">
      <c r="A238" s="28"/>
      <c r="B238" s="58"/>
      <c r="C238" s="28"/>
      <c r="D238" s="58"/>
      <c r="E238" s="58"/>
      <c r="F238" s="51"/>
      <c r="G238" s="51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</row>
    <row r="239" spans="1:51" x14ac:dyDescent="0.25">
      <c r="A239" s="28"/>
      <c r="B239" s="58"/>
      <c r="C239" s="28"/>
      <c r="D239" s="58"/>
      <c r="E239" s="58"/>
      <c r="F239" s="51"/>
      <c r="G239" s="51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</row>
    <row r="240" spans="1:51" x14ac:dyDescent="0.25">
      <c r="A240" s="28"/>
      <c r="B240" s="58"/>
      <c r="C240" s="28"/>
      <c r="D240" s="58"/>
      <c r="E240" s="58"/>
      <c r="F240" s="51"/>
      <c r="G240" s="51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</row>
    <row r="241" spans="1:51" x14ac:dyDescent="0.25">
      <c r="A241" s="28"/>
      <c r="B241" s="58"/>
      <c r="C241" s="28"/>
      <c r="D241" s="58"/>
      <c r="E241" s="58"/>
      <c r="F241" s="51"/>
      <c r="G241" s="51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</row>
    <row r="242" spans="1:51" x14ac:dyDescent="0.25">
      <c r="A242" s="28"/>
      <c r="B242" s="58"/>
      <c r="C242" s="28"/>
      <c r="D242" s="58"/>
      <c r="E242" s="58"/>
      <c r="F242" s="51"/>
      <c r="G242" s="51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</row>
    <row r="243" spans="1:51" x14ac:dyDescent="0.25">
      <c r="A243" s="28"/>
      <c r="B243" s="58"/>
      <c r="C243" s="28"/>
      <c r="D243" s="58"/>
      <c r="E243" s="58"/>
      <c r="F243" s="51"/>
      <c r="G243" s="51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</row>
    <row r="244" spans="1:51" x14ac:dyDescent="0.25">
      <c r="A244" s="28"/>
      <c r="B244" s="58"/>
      <c r="C244" s="28"/>
      <c r="D244" s="58"/>
      <c r="E244" s="58"/>
      <c r="F244" s="51"/>
      <c r="G244" s="51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</row>
    <row r="245" spans="1:51" x14ac:dyDescent="0.25">
      <c r="A245" s="28"/>
      <c r="B245" s="58"/>
      <c r="C245" s="28"/>
      <c r="D245" s="58"/>
      <c r="E245" s="58"/>
      <c r="F245" s="51"/>
      <c r="G245" s="51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</row>
    <row r="246" spans="1:51" x14ac:dyDescent="0.25">
      <c r="A246" s="28"/>
      <c r="B246" s="58"/>
      <c r="C246" s="28"/>
      <c r="D246" s="58"/>
      <c r="E246" s="58"/>
      <c r="F246" s="51"/>
      <c r="G246" s="51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</row>
    <row r="247" spans="1:51" x14ac:dyDescent="0.25">
      <c r="A247" s="28"/>
      <c r="B247" s="58"/>
      <c r="C247" s="28"/>
      <c r="D247" s="58"/>
      <c r="E247" s="58"/>
      <c r="F247" s="51"/>
      <c r="G247" s="51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</row>
    <row r="248" spans="1:51" x14ac:dyDescent="0.25">
      <c r="A248" s="28"/>
      <c r="B248" s="58"/>
      <c r="C248" s="28"/>
      <c r="D248" s="58"/>
      <c r="E248" s="58"/>
      <c r="F248" s="51"/>
      <c r="G248" s="51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</row>
    <row r="249" spans="1:51" x14ac:dyDescent="0.25">
      <c r="A249" s="28"/>
      <c r="B249" s="58"/>
      <c r="C249" s="28"/>
      <c r="D249" s="58"/>
      <c r="E249" s="58"/>
      <c r="F249" s="51"/>
      <c r="G249" s="51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</row>
    <row r="250" spans="1:51" x14ac:dyDescent="0.25">
      <c r="A250" s="28"/>
      <c r="B250" s="58"/>
      <c r="C250" s="28"/>
      <c r="D250" s="58"/>
      <c r="E250" s="58"/>
      <c r="F250" s="51"/>
      <c r="G250" s="51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</row>
    <row r="251" spans="1:51" x14ac:dyDescent="0.25">
      <c r="A251" s="28"/>
      <c r="B251" s="58"/>
      <c r="C251" s="28"/>
      <c r="D251" s="58"/>
      <c r="E251" s="58"/>
      <c r="F251" s="51"/>
      <c r="G251" s="51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</row>
    <row r="252" spans="1:51" x14ac:dyDescent="0.25">
      <c r="A252" s="28"/>
      <c r="B252" s="58"/>
      <c r="C252" s="28"/>
      <c r="D252" s="58"/>
      <c r="E252" s="58"/>
      <c r="F252" s="51"/>
      <c r="G252" s="51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</row>
    <row r="253" spans="1:51" x14ac:dyDescent="0.25">
      <c r="A253" s="28"/>
      <c r="B253" s="58"/>
      <c r="C253" s="28"/>
      <c r="D253" s="58"/>
      <c r="E253" s="58"/>
      <c r="F253" s="51"/>
      <c r="G253" s="51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</row>
    <row r="254" spans="1:51" x14ac:dyDescent="0.25">
      <c r="A254" s="28"/>
      <c r="B254" s="58"/>
      <c r="C254" s="28"/>
      <c r="D254" s="58"/>
      <c r="E254" s="58"/>
      <c r="F254" s="51"/>
      <c r="G254" s="51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</row>
    <row r="255" spans="1:51" x14ac:dyDescent="0.25">
      <c r="A255" s="28"/>
      <c r="B255" s="58"/>
      <c r="C255" s="28"/>
      <c r="D255" s="58"/>
      <c r="E255" s="58"/>
      <c r="F255" s="51"/>
      <c r="G255" s="51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</row>
    <row r="256" spans="1:51" x14ac:dyDescent="0.25">
      <c r="A256" s="28"/>
      <c r="B256" s="58"/>
      <c r="C256" s="28"/>
      <c r="D256" s="58"/>
      <c r="E256" s="58"/>
      <c r="F256" s="51"/>
      <c r="G256" s="51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</row>
    <row r="257" spans="1:51" x14ac:dyDescent="0.25">
      <c r="A257" s="28"/>
      <c r="B257" s="58"/>
      <c r="C257" s="28"/>
      <c r="D257" s="58"/>
      <c r="E257" s="58"/>
      <c r="F257" s="51"/>
      <c r="G257" s="51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</row>
    <row r="258" spans="1:51" x14ac:dyDescent="0.25">
      <c r="A258" s="28"/>
      <c r="B258" s="58"/>
      <c r="C258" s="28"/>
      <c r="D258" s="58"/>
      <c r="E258" s="58"/>
      <c r="F258" s="51"/>
      <c r="G258" s="51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</row>
    <row r="259" spans="1:51" x14ac:dyDescent="0.25">
      <c r="A259" s="28"/>
      <c r="B259" s="58"/>
      <c r="C259" s="28"/>
      <c r="D259" s="58"/>
      <c r="E259" s="58"/>
      <c r="F259" s="51"/>
      <c r="G259" s="51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</row>
    <row r="260" spans="1:51" x14ac:dyDescent="0.25">
      <c r="A260" s="28"/>
      <c r="B260" s="58"/>
      <c r="C260" s="28"/>
      <c r="D260" s="58"/>
      <c r="E260" s="58"/>
      <c r="F260" s="51"/>
      <c r="G260" s="51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</row>
    <row r="261" spans="1:51" x14ac:dyDescent="0.25">
      <c r="A261" s="28"/>
      <c r="B261" s="58"/>
      <c r="C261" s="28"/>
      <c r="D261" s="58"/>
      <c r="E261" s="58"/>
      <c r="F261" s="51"/>
      <c r="G261" s="51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</row>
    <row r="262" spans="1:51" x14ac:dyDescent="0.25">
      <c r="A262" s="28"/>
      <c r="B262" s="58"/>
      <c r="C262" s="28"/>
      <c r="D262" s="58"/>
      <c r="E262" s="58"/>
      <c r="F262" s="51"/>
      <c r="G262" s="51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</row>
    <row r="263" spans="1:51" x14ac:dyDescent="0.25">
      <c r="A263" s="28"/>
      <c r="B263" s="58"/>
      <c r="C263" s="28"/>
      <c r="D263" s="58"/>
      <c r="E263" s="58"/>
      <c r="F263" s="51"/>
      <c r="G263" s="51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</row>
    <row r="264" spans="1:51" x14ac:dyDescent="0.25">
      <c r="A264" s="28"/>
      <c r="B264" s="58"/>
      <c r="C264" s="28"/>
      <c r="D264" s="58"/>
      <c r="E264" s="58"/>
      <c r="F264" s="51"/>
      <c r="G264" s="51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</row>
    <row r="265" spans="1:51" x14ac:dyDescent="0.25">
      <c r="A265" s="28"/>
      <c r="B265" s="58"/>
      <c r="C265" s="28"/>
      <c r="D265" s="58"/>
      <c r="E265" s="58"/>
      <c r="F265" s="51"/>
      <c r="G265" s="51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</row>
    <row r="266" spans="1:51" x14ac:dyDescent="0.25">
      <c r="A266" s="28"/>
      <c r="B266" s="58"/>
      <c r="C266" s="28"/>
      <c r="D266" s="58"/>
      <c r="E266" s="58"/>
      <c r="F266" s="51"/>
      <c r="G266" s="51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</row>
    <row r="267" spans="1:51" x14ac:dyDescent="0.25">
      <c r="A267" s="28"/>
      <c r="B267" s="58"/>
      <c r="C267" s="28"/>
      <c r="D267" s="58"/>
      <c r="E267" s="58"/>
      <c r="F267" s="51"/>
      <c r="G267" s="51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</row>
    <row r="268" spans="1:51" x14ac:dyDescent="0.25">
      <c r="A268" s="28"/>
      <c r="B268" s="58"/>
      <c r="C268" s="28"/>
      <c r="D268" s="58"/>
      <c r="E268" s="58"/>
      <c r="F268" s="51"/>
      <c r="G268" s="51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</row>
    <row r="269" spans="1:51" x14ac:dyDescent="0.25">
      <c r="A269" s="28"/>
      <c r="B269" s="58"/>
      <c r="C269" s="28"/>
      <c r="D269" s="58"/>
      <c r="E269" s="58"/>
      <c r="F269" s="51"/>
      <c r="G269" s="51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</row>
    <row r="270" spans="1:51" x14ac:dyDescent="0.25">
      <c r="A270" s="28"/>
      <c r="B270" s="58"/>
      <c r="C270" s="28"/>
      <c r="D270" s="58"/>
      <c r="E270" s="58"/>
      <c r="F270" s="51"/>
      <c r="G270" s="51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</row>
    <row r="271" spans="1:51" x14ac:dyDescent="0.25">
      <c r="A271" s="28"/>
      <c r="B271" s="58"/>
      <c r="C271" s="28"/>
      <c r="D271" s="58"/>
      <c r="E271" s="58"/>
      <c r="F271" s="51"/>
      <c r="G271" s="51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</row>
    <row r="272" spans="1:51" x14ac:dyDescent="0.25">
      <c r="A272" s="28"/>
      <c r="B272" s="58"/>
      <c r="C272" s="28"/>
      <c r="D272" s="58"/>
      <c r="E272" s="58"/>
      <c r="F272" s="51"/>
      <c r="G272" s="51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</row>
    <row r="273" spans="1:51" x14ac:dyDescent="0.25">
      <c r="A273" s="28"/>
      <c r="B273" s="58"/>
      <c r="C273" s="28"/>
      <c r="D273" s="58"/>
      <c r="E273" s="58"/>
      <c r="F273" s="51"/>
      <c r="G273" s="51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</row>
    <row r="274" spans="1:51" x14ac:dyDescent="0.25">
      <c r="A274" s="28"/>
      <c r="B274" s="58"/>
      <c r="C274" s="28"/>
      <c r="D274" s="58"/>
      <c r="E274" s="58"/>
      <c r="F274" s="51"/>
      <c r="G274" s="51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</row>
    <row r="275" spans="1:51" x14ac:dyDescent="0.25">
      <c r="A275" s="28"/>
      <c r="B275" s="58"/>
      <c r="C275" s="28"/>
      <c r="D275" s="58"/>
      <c r="E275" s="58"/>
      <c r="F275" s="51"/>
      <c r="G275" s="51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</row>
    <row r="276" spans="1:51" x14ac:dyDescent="0.25">
      <c r="A276" s="28"/>
      <c r="B276" s="58"/>
      <c r="C276" s="28"/>
      <c r="D276" s="58"/>
      <c r="E276" s="58"/>
      <c r="F276" s="51"/>
      <c r="G276" s="51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</row>
    <row r="277" spans="1:51" x14ac:dyDescent="0.25">
      <c r="A277" s="28"/>
      <c r="B277" s="58"/>
      <c r="C277" s="28"/>
      <c r="D277" s="58"/>
      <c r="E277" s="58"/>
      <c r="F277" s="51"/>
      <c r="G277" s="51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</row>
    <row r="278" spans="1:51" x14ac:dyDescent="0.25">
      <c r="A278" s="28"/>
      <c r="B278" s="58"/>
      <c r="C278" s="28"/>
      <c r="D278" s="58"/>
      <c r="E278" s="58"/>
      <c r="F278" s="51"/>
      <c r="G278" s="51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</row>
    <row r="279" spans="1:51" x14ac:dyDescent="0.25">
      <c r="A279" s="28"/>
      <c r="B279" s="58"/>
      <c r="C279" s="28"/>
      <c r="D279" s="58"/>
      <c r="E279" s="58"/>
      <c r="F279" s="51"/>
      <c r="G279" s="51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</row>
    <row r="280" spans="1:51" x14ac:dyDescent="0.25">
      <c r="A280" s="28"/>
      <c r="B280" s="58"/>
      <c r="C280" s="28"/>
      <c r="D280" s="58"/>
      <c r="E280" s="58"/>
      <c r="F280" s="51"/>
      <c r="G280" s="51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</row>
    <row r="281" spans="1:51" x14ac:dyDescent="0.25">
      <c r="A281" s="28"/>
      <c r="B281" s="58"/>
      <c r="C281" s="28"/>
      <c r="D281" s="58"/>
      <c r="E281" s="58"/>
      <c r="F281" s="51"/>
      <c r="G281" s="51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</row>
    <row r="282" spans="1:51" x14ac:dyDescent="0.25">
      <c r="A282" s="28"/>
      <c r="B282" s="58"/>
      <c r="C282" s="28"/>
      <c r="D282" s="58"/>
      <c r="E282" s="58"/>
      <c r="F282" s="51"/>
      <c r="G282" s="51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</row>
    <row r="283" spans="1:51" x14ac:dyDescent="0.25">
      <c r="A283" s="28"/>
      <c r="B283" s="58"/>
      <c r="C283" s="28"/>
      <c r="D283" s="58"/>
      <c r="E283" s="58"/>
      <c r="F283" s="51"/>
      <c r="G283" s="51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</row>
    <row r="284" spans="1:51" x14ac:dyDescent="0.25">
      <c r="A284" s="28"/>
      <c r="B284" s="58"/>
      <c r="C284" s="28"/>
      <c r="D284" s="58"/>
      <c r="E284" s="58"/>
      <c r="F284" s="51"/>
      <c r="G284" s="51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</row>
    <row r="285" spans="1:51" x14ac:dyDescent="0.25">
      <c r="A285" s="28"/>
      <c r="B285" s="58"/>
      <c r="C285" s="28"/>
      <c r="D285" s="58"/>
      <c r="E285" s="58"/>
      <c r="F285" s="51"/>
      <c r="G285" s="51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</row>
    <row r="286" spans="1:51" x14ac:dyDescent="0.25">
      <c r="A286" s="28"/>
      <c r="B286" s="58"/>
      <c r="C286" s="28"/>
      <c r="D286" s="58"/>
      <c r="E286" s="58"/>
      <c r="F286" s="51"/>
      <c r="G286" s="51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</row>
    <row r="287" spans="1:51" x14ac:dyDescent="0.25">
      <c r="A287" s="28"/>
      <c r="B287" s="58"/>
      <c r="C287" s="28"/>
      <c r="D287" s="58"/>
      <c r="E287" s="58"/>
      <c r="F287" s="51"/>
      <c r="G287" s="51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</row>
    <row r="288" spans="1:51" x14ac:dyDescent="0.25">
      <c r="A288" s="28"/>
      <c r="B288" s="58"/>
      <c r="C288" s="28"/>
      <c r="D288" s="58"/>
      <c r="E288" s="58"/>
      <c r="F288" s="51"/>
      <c r="G288" s="51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</row>
    <row r="289" spans="1:51" x14ac:dyDescent="0.25">
      <c r="A289" s="28"/>
      <c r="B289" s="58"/>
      <c r="C289" s="28"/>
      <c r="D289" s="58"/>
      <c r="E289" s="58"/>
      <c r="F289" s="51"/>
      <c r="G289" s="51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</row>
    <row r="290" spans="1:51" x14ac:dyDescent="0.25">
      <c r="A290" s="28"/>
      <c r="B290" s="58"/>
      <c r="C290" s="28"/>
      <c r="D290" s="58"/>
      <c r="E290" s="58"/>
      <c r="F290" s="51"/>
      <c r="G290" s="51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</row>
    <row r="291" spans="1:51" x14ac:dyDescent="0.25">
      <c r="A291" s="28"/>
      <c r="B291" s="58"/>
      <c r="C291" s="28"/>
      <c r="D291" s="58"/>
      <c r="E291" s="58"/>
      <c r="F291" s="51"/>
      <c r="G291" s="51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</row>
    <row r="292" spans="1:51" x14ac:dyDescent="0.25">
      <c r="A292" s="28"/>
      <c r="B292" s="58"/>
      <c r="C292" s="28"/>
      <c r="D292" s="58"/>
      <c r="E292" s="58"/>
      <c r="F292" s="51"/>
      <c r="G292" s="51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</row>
    <row r="293" spans="1:51" x14ac:dyDescent="0.25">
      <c r="A293" s="28"/>
      <c r="B293" s="58"/>
      <c r="C293" s="28"/>
      <c r="D293" s="58"/>
      <c r="E293" s="58"/>
      <c r="F293" s="51"/>
      <c r="G293" s="51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</row>
    <row r="294" spans="1:51" x14ac:dyDescent="0.25">
      <c r="A294" s="28"/>
      <c r="B294" s="58"/>
      <c r="C294" s="28"/>
      <c r="D294" s="58"/>
      <c r="E294" s="58"/>
      <c r="F294" s="51"/>
      <c r="G294" s="51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</row>
    <row r="295" spans="1:51" x14ac:dyDescent="0.25">
      <c r="A295" s="28"/>
      <c r="B295" s="58"/>
      <c r="C295" s="28"/>
      <c r="D295" s="58"/>
      <c r="E295" s="58"/>
      <c r="F295" s="51"/>
      <c r="G295" s="51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</row>
    <row r="296" spans="1:51" x14ac:dyDescent="0.25">
      <c r="A296" s="28"/>
      <c r="B296" s="58"/>
      <c r="C296" s="28"/>
      <c r="D296" s="58"/>
      <c r="E296" s="58"/>
      <c r="F296" s="51"/>
      <c r="G296" s="51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</row>
    <row r="297" spans="1:51" x14ac:dyDescent="0.25">
      <c r="A297" s="28"/>
      <c r="B297" s="58"/>
      <c r="C297" s="28"/>
      <c r="D297" s="58"/>
      <c r="E297" s="58"/>
      <c r="F297" s="51"/>
      <c r="G297" s="51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</row>
    <row r="298" spans="1:51" x14ac:dyDescent="0.25">
      <c r="A298" s="28"/>
      <c r="B298" s="58"/>
      <c r="C298" s="28"/>
      <c r="D298" s="58"/>
      <c r="E298" s="58"/>
      <c r="F298" s="51"/>
      <c r="G298" s="51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</row>
    <row r="299" spans="1:51" x14ac:dyDescent="0.25">
      <c r="A299" s="28"/>
      <c r="B299" s="58"/>
      <c r="C299" s="28"/>
      <c r="D299" s="58"/>
      <c r="E299" s="58"/>
      <c r="F299" s="51"/>
      <c r="G299" s="51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</row>
    <row r="300" spans="1:51" x14ac:dyDescent="0.25">
      <c r="A300" s="28"/>
      <c r="B300" s="58"/>
      <c r="C300" s="28"/>
      <c r="D300" s="58"/>
      <c r="E300" s="58"/>
      <c r="F300" s="51"/>
      <c r="G300" s="51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</row>
    <row r="301" spans="1:51" x14ac:dyDescent="0.25">
      <c r="A301" s="28"/>
      <c r="B301" s="58"/>
      <c r="C301" s="28"/>
      <c r="D301" s="58"/>
      <c r="E301" s="58"/>
      <c r="F301" s="51"/>
      <c r="G301" s="51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</row>
    <row r="302" spans="1:51" x14ac:dyDescent="0.25">
      <c r="A302" s="28"/>
      <c r="B302" s="58"/>
      <c r="C302" s="28"/>
      <c r="D302" s="58"/>
      <c r="E302" s="58"/>
      <c r="F302" s="51"/>
      <c r="G302" s="51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</row>
    <row r="303" spans="1:51" x14ac:dyDescent="0.25">
      <c r="A303" s="28"/>
      <c r="B303" s="58"/>
      <c r="C303" s="28"/>
      <c r="D303" s="58"/>
      <c r="E303" s="58"/>
      <c r="F303" s="51"/>
      <c r="G303" s="51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</row>
    <row r="304" spans="1:51" x14ac:dyDescent="0.25">
      <c r="A304" s="28"/>
      <c r="B304" s="58"/>
      <c r="C304" s="28"/>
      <c r="D304" s="58"/>
      <c r="E304" s="58"/>
      <c r="F304" s="51"/>
      <c r="G304" s="51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</row>
    <row r="305" spans="1:51" x14ac:dyDescent="0.25">
      <c r="A305" s="28"/>
      <c r="B305" s="58"/>
      <c r="C305" s="28"/>
      <c r="D305" s="58"/>
      <c r="E305" s="58"/>
      <c r="F305" s="51"/>
      <c r="G305" s="51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</row>
    <row r="306" spans="1:51" x14ac:dyDescent="0.25">
      <c r="A306" s="28"/>
      <c r="B306" s="58"/>
      <c r="C306" s="28"/>
      <c r="D306" s="58"/>
      <c r="E306" s="58"/>
      <c r="F306" s="51"/>
      <c r="G306" s="51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</row>
    <row r="307" spans="1:51" x14ac:dyDescent="0.25">
      <c r="A307" s="28"/>
      <c r="B307" s="58"/>
      <c r="C307" s="28"/>
      <c r="D307" s="58"/>
      <c r="E307" s="58"/>
      <c r="F307" s="51"/>
      <c r="G307" s="51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</row>
    <row r="308" spans="1:51" x14ac:dyDescent="0.25">
      <c r="A308" s="28"/>
      <c r="B308" s="58"/>
      <c r="C308" s="28"/>
      <c r="D308" s="58"/>
      <c r="E308" s="58"/>
      <c r="F308" s="51"/>
      <c r="G308" s="51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</row>
    <row r="309" spans="1:51" x14ac:dyDescent="0.25">
      <c r="A309" s="28"/>
      <c r="B309" s="58"/>
      <c r="C309" s="28"/>
      <c r="D309" s="58"/>
      <c r="E309" s="58"/>
      <c r="F309" s="51"/>
      <c r="G309" s="51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</row>
    <row r="310" spans="1:51" x14ac:dyDescent="0.25">
      <c r="A310" s="28"/>
      <c r="B310" s="58"/>
      <c r="C310" s="28"/>
      <c r="D310" s="58"/>
      <c r="E310" s="58"/>
      <c r="F310" s="51"/>
      <c r="G310" s="51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</row>
    <row r="311" spans="1:51" x14ac:dyDescent="0.25">
      <c r="A311" s="28"/>
      <c r="B311" s="58"/>
      <c r="C311" s="28"/>
      <c r="D311" s="58"/>
      <c r="E311" s="58"/>
      <c r="F311" s="51"/>
      <c r="G311" s="51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</row>
    <row r="312" spans="1:51" x14ac:dyDescent="0.25">
      <c r="A312" s="28"/>
      <c r="B312" s="58"/>
      <c r="C312" s="28"/>
      <c r="D312" s="58"/>
      <c r="E312" s="58"/>
      <c r="F312" s="51"/>
      <c r="G312" s="51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</row>
    <row r="313" spans="1:51" x14ac:dyDescent="0.25">
      <c r="A313" s="28"/>
      <c r="B313" s="58"/>
      <c r="C313" s="28"/>
      <c r="D313" s="58"/>
      <c r="E313" s="58"/>
      <c r="F313" s="51"/>
      <c r="G313" s="51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</row>
    <row r="314" spans="1:51" x14ac:dyDescent="0.25">
      <c r="A314" s="28"/>
      <c r="B314" s="58"/>
      <c r="C314" s="28"/>
      <c r="D314" s="58"/>
      <c r="E314" s="58"/>
      <c r="F314" s="51"/>
      <c r="G314" s="51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</row>
    <row r="315" spans="1:51" x14ac:dyDescent="0.25">
      <c r="A315" s="28"/>
      <c r="B315" s="58"/>
      <c r="C315" s="28"/>
      <c r="D315" s="58"/>
      <c r="E315" s="58"/>
      <c r="F315" s="51"/>
      <c r="G315" s="51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</row>
    <row r="316" spans="1:51" x14ac:dyDescent="0.25">
      <c r="A316" s="28"/>
      <c r="B316" s="58"/>
      <c r="C316" s="28"/>
      <c r="D316" s="58"/>
      <c r="E316" s="58"/>
      <c r="F316" s="51"/>
      <c r="G316" s="51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</row>
    <row r="317" spans="1:51" x14ac:dyDescent="0.25">
      <c r="A317" s="28"/>
      <c r="B317" s="58"/>
      <c r="C317" s="28"/>
      <c r="D317" s="58"/>
      <c r="E317" s="58"/>
      <c r="F317" s="51"/>
      <c r="G317" s="51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</row>
    <row r="318" spans="1:51" x14ac:dyDescent="0.25">
      <c r="A318" s="28"/>
      <c r="B318" s="58"/>
      <c r="C318" s="28"/>
      <c r="D318" s="58"/>
      <c r="E318" s="58"/>
      <c r="F318" s="51"/>
      <c r="G318" s="51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</row>
    <row r="319" spans="1:51" x14ac:dyDescent="0.25">
      <c r="A319" s="28"/>
      <c r="B319" s="58"/>
      <c r="C319" s="28"/>
      <c r="D319" s="58"/>
      <c r="E319" s="58"/>
      <c r="F319" s="51"/>
      <c r="G319" s="51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</row>
    <row r="320" spans="1:51" x14ac:dyDescent="0.25">
      <c r="A320" s="28"/>
      <c r="B320" s="58"/>
      <c r="C320" s="28"/>
      <c r="D320" s="58"/>
      <c r="E320" s="58"/>
      <c r="F320" s="51"/>
      <c r="G320" s="51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</row>
    <row r="321" spans="1:51" x14ac:dyDescent="0.25">
      <c r="A321" s="28"/>
      <c r="B321" s="58"/>
      <c r="C321" s="28"/>
      <c r="D321" s="58"/>
      <c r="E321" s="58"/>
      <c r="F321" s="51"/>
      <c r="G321" s="51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</row>
    <row r="322" spans="1:51" x14ac:dyDescent="0.25">
      <c r="A322" s="28"/>
      <c r="B322" s="58"/>
      <c r="C322" s="28"/>
      <c r="D322" s="58"/>
      <c r="E322" s="58"/>
      <c r="F322" s="51"/>
      <c r="G322" s="51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</row>
    <row r="323" spans="1:51" x14ac:dyDescent="0.25">
      <c r="A323" s="28"/>
      <c r="B323" s="58"/>
      <c r="C323" s="28"/>
      <c r="D323" s="58"/>
      <c r="E323" s="58"/>
      <c r="F323" s="51"/>
      <c r="G323" s="51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</row>
    <row r="324" spans="1:51" x14ac:dyDescent="0.25">
      <c r="A324" s="28"/>
      <c r="B324" s="58"/>
      <c r="C324" s="28"/>
      <c r="D324" s="58"/>
      <c r="E324" s="58"/>
      <c r="F324" s="51"/>
      <c r="G324" s="51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</row>
    <row r="325" spans="1:51" x14ac:dyDescent="0.25">
      <c r="A325" s="28"/>
      <c r="B325" s="58"/>
      <c r="C325" s="28"/>
      <c r="D325" s="58"/>
      <c r="E325" s="58"/>
      <c r="F325" s="51"/>
      <c r="G325" s="51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</row>
    <row r="326" spans="1:51" x14ac:dyDescent="0.25">
      <c r="A326" s="28"/>
      <c r="B326" s="58"/>
      <c r="C326" s="28"/>
      <c r="D326" s="58"/>
      <c r="E326" s="58"/>
      <c r="F326" s="51"/>
      <c r="G326" s="51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</row>
    <row r="327" spans="1:51" x14ac:dyDescent="0.25">
      <c r="A327" s="28"/>
      <c r="B327" s="58"/>
      <c r="C327" s="28"/>
      <c r="D327" s="58"/>
      <c r="E327" s="58"/>
      <c r="F327" s="51"/>
      <c r="G327" s="51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</row>
    <row r="328" spans="1:51" x14ac:dyDescent="0.25">
      <c r="A328" s="28"/>
      <c r="B328" s="58"/>
      <c r="C328" s="28"/>
      <c r="D328" s="58"/>
      <c r="E328" s="58"/>
      <c r="F328" s="51"/>
      <c r="G328" s="51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</row>
    <row r="329" spans="1:51" x14ac:dyDescent="0.25">
      <c r="A329" s="28"/>
      <c r="B329" s="58"/>
      <c r="C329" s="28"/>
      <c r="D329" s="58"/>
      <c r="E329" s="58"/>
      <c r="F329" s="51"/>
      <c r="G329" s="51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</row>
    <row r="330" spans="1:51" x14ac:dyDescent="0.25">
      <c r="A330" s="28"/>
      <c r="B330" s="58"/>
      <c r="C330" s="28"/>
      <c r="D330" s="58"/>
      <c r="E330" s="58"/>
      <c r="F330" s="51"/>
      <c r="G330" s="51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</row>
    <row r="331" spans="1:51" x14ac:dyDescent="0.25">
      <c r="A331" s="28"/>
      <c r="B331" s="58"/>
      <c r="C331" s="28"/>
      <c r="D331" s="58"/>
      <c r="E331" s="58"/>
      <c r="F331" s="51"/>
      <c r="G331" s="51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</row>
    <row r="332" spans="1:51" x14ac:dyDescent="0.25">
      <c r="A332" s="28"/>
      <c r="B332" s="58"/>
      <c r="C332" s="28"/>
      <c r="D332" s="58"/>
      <c r="E332" s="58"/>
      <c r="F332" s="51"/>
      <c r="G332" s="51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</row>
    <row r="333" spans="1:51" x14ac:dyDescent="0.25">
      <c r="A333" s="28"/>
      <c r="B333" s="58"/>
      <c r="C333" s="28"/>
      <c r="D333" s="58"/>
      <c r="E333" s="58"/>
      <c r="F333" s="51"/>
      <c r="G333" s="51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</row>
    <row r="334" spans="1:51" x14ac:dyDescent="0.25">
      <c r="A334" s="28"/>
      <c r="B334" s="58"/>
      <c r="C334" s="28"/>
      <c r="D334" s="58"/>
      <c r="E334" s="58"/>
      <c r="F334" s="51"/>
      <c r="G334" s="51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</row>
    <row r="335" spans="1:51" x14ac:dyDescent="0.25">
      <c r="A335" s="28"/>
      <c r="B335" s="58"/>
      <c r="C335" s="28"/>
      <c r="D335" s="58"/>
      <c r="E335" s="58"/>
      <c r="F335" s="51"/>
      <c r="G335" s="51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</row>
    <row r="336" spans="1:51" x14ac:dyDescent="0.25">
      <c r="A336" s="28"/>
      <c r="B336" s="58"/>
      <c r="C336" s="28"/>
      <c r="D336" s="58"/>
      <c r="E336" s="58"/>
      <c r="F336" s="51"/>
      <c r="G336" s="51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</row>
    <row r="337" spans="1:51" x14ac:dyDescent="0.25">
      <c r="A337" s="28"/>
      <c r="B337" s="58"/>
      <c r="C337" s="28"/>
      <c r="D337" s="58"/>
      <c r="E337" s="58"/>
      <c r="F337" s="51"/>
      <c r="G337" s="51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</row>
    <row r="338" spans="1:51" x14ac:dyDescent="0.25">
      <c r="A338" s="28"/>
      <c r="B338" s="58"/>
      <c r="C338" s="28"/>
      <c r="D338" s="58"/>
      <c r="E338" s="58"/>
      <c r="F338" s="51"/>
      <c r="G338" s="51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</row>
    <row r="339" spans="1:51" x14ac:dyDescent="0.25">
      <c r="A339" s="28"/>
      <c r="B339" s="58"/>
      <c r="C339" s="28"/>
      <c r="D339" s="58"/>
      <c r="E339" s="58"/>
      <c r="F339" s="51"/>
      <c r="G339" s="51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</row>
    <row r="340" spans="1:51" x14ac:dyDescent="0.25">
      <c r="A340" s="28"/>
      <c r="B340" s="58"/>
      <c r="C340" s="28"/>
      <c r="D340" s="58"/>
      <c r="E340" s="58"/>
      <c r="F340" s="51"/>
      <c r="G340" s="51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</row>
    <row r="341" spans="1:51" x14ac:dyDescent="0.25">
      <c r="A341" s="28"/>
      <c r="B341" s="58"/>
      <c r="C341" s="28"/>
      <c r="D341" s="58"/>
      <c r="E341" s="58"/>
      <c r="F341" s="51"/>
      <c r="G341" s="51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</row>
    <row r="342" spans="1:51" x14ac:dyDescent="0.25">
      <c r="A342" s="28"/>
      <c r="B342" s="58"/>
      <c r="C342" s="28"/>
      <c r="D342" s="58"/>
      <c r="E342" s="58"/>
      <c r="F342" s="51"/>
      <c r="G342" s="51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</row>
    <row r="343" spans="1:51" x14ac:dyDescent="0.25">
      <c r="A343" s="28"/>
      <c r="B343" s="58"/>
      <c r="C343" s="28"/>
      <c r="D343" s="58"/>
      <c r="E343" s="58"/>
      <c r="F343" s="51"/>
      <c r="G343" s="51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</row>
    <row r="344" spans="1:51" x14ac:dyDescent="0.25">
      <c r="A344" s="28"/>
      <c r="B344" s="58"/>
      <c r="C344" s="28"/>
      <c r="D344" s="58"/>
      <c r="E344" s="58"/>
      <c r="F344" s="51"/>
      <c r="G344" s="51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</row>
    <row r="345" spans="1:51" x14ac:dyDescent="0.25">
      <c r="A345" s="28"/>
      <c r="B345" s="58"/>
      <c r="C345" s="28"/>
      <c r="D345" s="58"/>
      <c r="E345" s="58"/>
      <c r="F345" s="51"/>
      <c r="G345" s="51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</row>
    <row r="346" spans="1:51" x14ac:dyDescent="0.25">
      <c r="A346" s="28"/>
      <c r="B346" s="58"/>
      <c r="C346" s="28"/>
      <c r="D346" s="58"/>
      <c r="E346" s="58"/>
      <c r="F346" s="51"/>
      <c r="G346" s="51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</row>
    <row r="347" spans="1:51" x14ac:dyDescent="0.25">
      <c r="A347" s="28"/>
      <c r="B347" s="58"/>
      <c r="C347" s="28"/>
      <c r="D347" s="58"/>
      <c r="E347" s="58"/>
      <c r="F347" s="51"/>
      <c r="G347" s="51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</row>
    <row r="348" spans="1:51" x14ac:dyDescent="0.25">
      <c r="A348" s="28"/>
      <c r="B348" s="58"/>
      <c r="C348" s="28"/>
      <c r="D348" s="58"/>
      <c r="E348" s="58"/>
      <c r="F348" s="51"/>
      <c r="G348" s="51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</row>
    <row r="349" spans="1:51" x14ac:dyDescent="0.25">
      <c r="A349" s="28"/>
      <c r="B349" s="58"/>
      <c r="C349" s="28"/>
      <c r="D349" s="58"/>
      <c r="E349" s="58"/>
      <c r="F349" s="51"/>
      <c r="G349" s="51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</row>
    <row r="350" spans="1:51" x14ac:dyDescent="0.25">
      <c r="A350" s="28"/>
      <c r="B350" s="58"/>
      <c r="C350" s="28"/>
      <c r="D350" s="58"/>
      <c r="E350" s="58"/>
      <c r="F350" s="51"/>
      <c r="G350" s="51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</row>
    <row r="351" spans="1:51" x14ac:dyDescent="0.25">
      <c r="A351" s="28"/>
      <c r="B351" s="58"/>
      <c r="C351" s="28"/>
      <c r="D351" s="58"/>
      <c r="E351" s="58"/>
      <c r="F351" s="51"/>
      <c r="G351" s="51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</row>
    <row r="352" spans="1:51" x14ac:dyDescent="0.25">
      <c r="A352" s="28"/>
      <c r="B352" s="58"/>
      <c r="C352" s="28"/>
      <c r="D352" s="58"/>
      <c r="E352" s="58"/>
      <c r="F352" s="51"/>
      <c r="G352" s="51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</row>
    <row r="353" spans="1:51" x14ac:dyDescent="0.25">
      <c r="A353" s="28"/>
      <c r="B353" s="58"/>
      <c r="C353" s="28"/>
      <c r="D353" s="58"/>
      <c r="E353" s="58"/>
      <c r="F353" s="51"/>
      <c r="G353" s="51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</row>
    <row r="354" spans="1:51" x14ac:dyDescent="0.25">
      <c r="A354" s="28"/>
      <c r="B354" s="58"/>
      <c r="C354" s="28"/>
      <c r="D354" s="58"/>
      <c r="E354" s="58"/>
      <c r="F354" s="51"/>
      <c r="G354" s="51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</row>
    <row r="355" spans="1:51" x14ac:dyDescent="0.25">
      <c r="A355" s="28"/>
      <c r="B355" s="58"/>
      <c r="C355" s="28"/>
      <c r="D355" s="58"/>
      <c r="E355" s="58"/>
      <c r="F355" s="51"/>
      <c r="G355" s="51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</row>
    <row r="356" spans="1:51" x14ac:dyDescent="0.25">
      <c r="A356" s="28"/>
      <c r="B356" s="58"/>
      <c r="C356" s="28"/>
      <c r="D356" s="58"/>
      <c r="E356" s="58"/>
      <c r="F356" s="51"/>
      <c r="G356" s="51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</row>
    <row r="357" spans="1:51" x14ac:dyDescent="0.25">
      <c r="A357" s="28"/>
      <c r="B357" s="58"/>
      <c r="C357" s="28"/>
      <c r="D357" s="58"/>
      <c r="E357" s="58"/>
      <c r="F357" s="51"/>
      <c r="G357" s="51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</row>
    <row r="358" spans="1:51" x14ac:dyDescent="0.25">
      <c r="A358" s="28"/>
      <c r="B358" s="58"/>
      <c r="C358" s="28"/>
      <c r="D358" s="58"/>
      <c r="E358" s="58"/>
      <c r="F358" s="51"/>
      <c r="G358" s="51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</row>
    <row r="359" spans="1:51" x14ac:dyDescent="0.25">
      <c r="A359" s="28"/>
      <c r="B359" s="58"/>
      <c r="C359" s="28"/>
      <c r="D359" s="58"/>
      <c r="E359" s="58"/>
      <c r="F359" s="51"/>
      <c r="G359" s="51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</row>
    <row r="360" spans="1:51" x14ac:dyDescent="0.25">
      <c r="A360" s="28"/>
      <c r="B360" s="58"/>
      <c r="C360" s="28"/>
      <c r="D360" s="58"/>
      <c r="E360" s="58"/>
      <c r="F360" s="51"/>
      <c r="G360" s="51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</row>
    <row r="361" spans="1:51" x14ac:dyDescent="0.25">
      <c r="A361" s="28"/>
      <c r="B361" s="58"/>
      <c r="C361" s="28"/>
      <c r="D361" s="58"/>
      <c r="E361" s="58"/>
      <c r="F361" s="51"/>
      <c r="G361" s="51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</row>
    <row r="362" spans="1:51" x14ac:dyDescent="0.25">
      <c r="A362" s="28"/>
      <c r="B362" s="58"/>
      <c r="C362" s="28"/>
      <c r="D362" s="58"/>
      <c r="E362" s="58"/>
      <c r="F362" s="51"/>
      <c r="G362" s="51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</row>
    <row r="363" spans="1:51" x14ac:dyDescent="0.25">
      <c r="A363" s="28"/>
      <c r="B363" s="58"/>
      <c r="C363" s="28"/>
      <c r="D363" s="58"/>
      <c r="E363" s="58"/>
      <c r="F363" s="51"/>
      <c r="G363" s="51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</row>
    <row r="364" spans="1:51" x14ac:dyDescent="0.25">
      <c r="A364" s="28"/>
      <c r="B364" s="58"/>
      <c r="C364" s="28"/>
      <c r="D364" s="58"/>
      <c r="E364" s="58"/>
      <c r="F364" s="51"/>
      <c r="G364" s="51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</row>
    <row r="365" spans="1:51" x14ac:dyDescent="0.25">
      <c r="A365" s="28"/>
      <c r="B365" s="58"/>
      <c r="C365" s="28"/>
      <c r="D365" s="58"/>
      <c r="E365" s="58"/>
      <c r="F365" s="51"/>
      <c r="G365" s="51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</row>
    <row r="366" spans="1:51" x14ac:dyDescent="0.25">
      <c r="A366" s="28"/>
      <c r="B366" s="58"/>
      <c r="C366" s="28"/>
      <c r="D366" s="58"/>
      <c r="E366" s="58"/>
      <c r="F366" s="51"/>
      <c r="G366" s="51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</row>
    <row r="367" spans="1:51" x14ac:dyDescent="0.25">
      <c r="A367" s="28"/>
      <c r="B367" s="58"/>
      <c r="C367" s="28"/>
      <c r="D367" s="58"/>
      <c r="E367" s="58"/>
      <c r="F367" s="51"/>
      <c r="G367" s="51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</row>
    <row r="368" spans="1:51" x14ac:dyDescent="0.25">
      <c r="A368" s="28"/>
      <c r="B368" s="58"/>
      <c r="C368" s="28"/>
      <c r="D368" s="58"/>
      <c r="E368" s="58"/>
      <c r="F368" s="51"/>
      <c r="G368" s="51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</row>
    <row r="369" spans="1:51" x14ac:dyDescent="0.25">
      <c r="A369" s="28"/>
      <c r="B369" s="58"/>
      <c r="C369" s="28"/>
      <c r="D369" s="58"/>
      <c r="E369" s="58"/>
      <c r="F369" s="51"/>
      <c r="G369" s="51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</row>
    <row r="370" spans="1:51" x14ac:dyDescent="0.25">
      <c r="A370" s="28"/>
      <c r="B370" s="58"/>
      <c r="C370" s="28"/>
      <c r="D370" s="58"/>
      <c r="E370" s="58"/>
      <c r="F370" s="51"/>
      <c r="G370" s="51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</row>
    <row r="371" spans="1:51" x14ac:dyDescent="0.25">
      <c r="A371" s="28"/>
      <c r="B371" s="58"/>
      <c r="C371" s="28"/>
      <c r="D371" s="58"/>
      <c r="E371" s="58"/>
      <c r="F371" s="51"/>
      <c r="G371" s="51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</row>
    <row r="372" spans="1:51" x14ac:dyDescent="0.25">
      <c r="A372" s="28"/>
      <c r="B372" s="58"/>
      <c r="C372" s="28"/>
      <c r="D372" s="58"/>
      <c r="E372" s="58"/>
      <c r="F372" s="51"/>
      <c r="G372" s="51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</row>
    <row r="373" spans="1:51" x14ac:dyDescent="0.25">
      <c r="A373" s="28"/>
      <c r="B373" s="58"/>
      <c r="C373" s="28"/>
      <c r="D373" s="58"/>
      <c r="E373" s="58"/>
      <c r="F373" s="51"/>
      <c r="G373" s="51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</row>
    <row r="374" spans="1:51" x14ac:dyDescent="0.25">
      <c r="A374" s="28"/>
      <c r="B374" s="58"/>
      <c r="C374" s="28"/>
      <c r="D374" s="58"/>
      <c r="E374" s="58"/>
      <c r="F374" s="51"/>
      <c r="G374" s="51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</row>
    <row r="375" spans="1:51" x14ac:dyDescent="0.25">
      <c r="A375" s="28"/>
      <c r="B375" s="58"/>
      <c r="C375" s="28"/>
      <c r="D375" s="58"/>
      <c r="E375" s="58"/>
      <c r="F375" s="51"/>
      <c r="G375" s="51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</row>
    <row r="376" spans="1:51" x14ac:dyDescent="0.25">
      <c r="A376" s="28"/>
      <c r="B376" s="58"/>
      <c r="C376" s="28"/>
      <c r="D376" s="58"/>
      <c r="E376" s="58"/>
      <c r="F376" s="51"/>
      <c r="G376" s="51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</row>
    <row r="377" spans="1:51" x14ac:dyDescent="0.25">
      <c r="A377" s="28"/>
      <c r="B377" s="58"/>
      <c r="C377" s="28"/>
      <c r="D377" s="58"/>
      <c r="E377" s="58"/>
      <c r="F377" s="51"/>
      <c r="G377" s="51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</row>
    <row r="378" spans="1:51" x14ac:dyDescent="0.25">
      <c r="A378" s="28"/>
      <c r="B378" s="58"/>
      <c r="C378" s="28"/>
      <c r="D378" s="58"/>
      <c r="E378" s="58"/>
      <c r="F378" s="51"/>
      <c r="G378" s="51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</row>
    <row r="379" spans="1:51" x14ac:dyDescent="0.25">
      <c r="A379" s="28"/>
      <c r="B379" s="58"/>
      <c r="C379" s="28"/>
      <c r="D379" s="58"/>
      <c r="E379" s="58"/>
      <c r="F379" s="51"/>
      <c r="G379" s="51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</row>
    <row r="380" spans="1:51" x14ac:dyDescent="0.25">
      <c r="A380" s="28"/>
      <c r="B380" s="58"/>
      <c r="C380" s="28"/>
      <c r="D380" s="58"/>
      <c r="E380" s="58"/>
      <c r="F380" s="51"/>
      <c r="G380" s="51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</row>
    <row r="381" spans="1:51" x14ac:dyDescent="0.25">
      <c r="A381" s="28"/>
      <c r="B381" s="58"/>
      <c r="C381" s="28"/>
      <c r="D381" s="58"/>
      <c r="E381" s="58"/>
      <c r="F381" s="51"/>
      <c r="G381" s="51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</row>
    <row r="382" spans="1:51" x14ac:dyDescent="0.25">
      <c r="A382" s="28"/>
      <c r="B382" s="58"/>
      <c r="C382" s="28"/>
      <c r="D382" s="58"/>
      <c r="E382" s="58"/>
      <c r="F382" s="51"/>
      <c r="G382" s="51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</row>
    <row r="383" spans="1:51" x14ac:dyDescent="0.25">
      <c r="A383" s="28"/>
      <c r="B383" s="58"/>
      <c r="C383" s="28"/>
      <c r="D383" s="58"/>
      <c r="E383" s="58"/>
      <c r="F383" s="51"/>
      <c r="G383" s="51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</row>
    <row r="384" spans="1:51" x14ac:dyDescent="0.25">
      <c r="A384" s="28"/>
      <c r="B384" s="58"/>
      <c r="C384" s="28"/>
      <c r="D384" s="58"/>
      <c r="E384" s="58"/>
      <c r="F384" s="51"/>
      <c r="G384" s="51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</row>
    <row r="385" spans="1:51" x14ac:dyDescent="0.25">
      <c r="A385" s="28"/>
      <c r="B385" s="58"/>
      <c r="C385" s="28"/>
      <c r="D385" s="58"/>
      <c r="E385" s="58"/>
      <c r="F385" s="51"/>
      <c r="G385" s="51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</row>
    <row r="386" spans="1:51" x14ac:dyDescent="0.25">
      <c r="A386" s="28"/>
      <c r="B386" s="58"/>
      <c r="C386" s="28"/>
      <c r="D386" s="58"/>
      <c r="E386" s="58"/>
      <c r="F386" s="51"/>
      <c r="G386" s="51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</row>
    <row r="387" spans="1:51" x14ac:dyDescent="0.25">
      <c r="A387" s="28"/>
      <c r="B387" s="58"/>
      <c r="C387" s="28"/>
      <c r="D387" s="58"/>
      <c r="E387" s="58"/>
      <c r="F387" s="51"/>
      <c r="G387" s="51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</row>
    <row r="388" spans="1:51" x14ac:dyDescent="0.25">
      <c r="A388" s="28"/>
      <c r="B388" s="58"/>
      <c r="C388" s="28"/>
      <c r="D388" s="58"/>
      <c r="E388" s="58"/>
      <c r="F388" s="51"/>
      <c r="G388" s="51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</row>
    <row r="389" spans="1:51" x14ac:dyDescent="0.25">
      <c r="A389" s="28"/>
      <c r="B389" s="58"/>
      <c r="C389" s="28"/>
      <c r="D389" s="58"/>
      <c r="E389" s="58"/>
      <c r="F389" s="51"/>
      <c r="G389" s="51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</row>
    <row r="390" spans="1:51" x14ac:dyDescent="0.25">
      <c r="A390" s="28"/>
      <c r="B390" s="58"/>
      <c r="C390" s="28"/>
      <c r="D390" s="58"/>
      <c r="E390" s="58"/>
      <c r="F390" s="51"/>
      <c r="G390" s="51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</row>
    <row r="391" spans="1:51" x14ac:dyDescent="0.25">
      <c r="A391" s="28"/>
      <c r="B391" s="58"/>
      <c r="C391" s="28"/>
      <c r="D391" s="58"/>
      <c r="E391" s="58"/>
      <c r="F391" s="51"/>
      <c r="G391" s="51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</row>
    <row r="392" spans="1:51" x14ac:dyDescent="0.25">
      <c r="A392" s="28"/>
      <c r="B392" s="58"/>
      <c r="C392" s="28"/>
      <c r="D392" s="58"/>
      <c r="E392" s="58"/>
      <c r="F392" s="51"/>
      <c r="G392" s="51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</row>
    <row r="393" spans="1:51" x14ac:dyDescent="0.25">
      <c r="A393" s="28"/>
      <c r="B393" s="58"/>
      <c r="C393" s="28"/>
      <c r="D393" s="58"/>
      <c r="E393" s="58"/>
      <c r="F393" s="51"/>
      <c r="G393" s="51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</row>
    <row r="394" spans="1:51" x14ac:dyDescent="0.25">
      <c r="A394" s="28"/>
      <c r="B394" s="58"/>
      <c r="C394" s="28"/>
      <c r="D394" s="58"/>
      <c r="E394" s="58"/>
      <c r="F394" s="51"/>
      <c r="G394" s="51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</row>
    <row r="395" spans="1:51" x14ac:dyDescent="0.25">
      <c r="A395" s="28"/>
      <c r="B395" s="58"/>
      <c r="C395" s="28"/>
      <c r="D395" s="58"/>
      <c r="E395" s="58"/>
      <c r="F395" s="51"/>
      <c r="G395" s="51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</row>
    <row r="396" spans="1:51" x14ac:dyDescent="0.25">
      <c r="A396" s="28"/>
      <c r="B396" s="58"/>
      <c r="C396" s="28"/>
      <c r="D396" s="58"/>
      <c r="E396" s="58"/>
      <c r="F396" s="51"/>
      <c r="G396" s="51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</row>
    <row r="397" spans="1:51" x14ac:dyDescent="0.25">
      <c r="A397" s="28"/>
      <c r="B397" s="58"/>
      <c r="C397" s="28"/>
      <c r="D397" s="58"/>
      <c r="E397" s="58"/>
      <c r="F397" s="51"/>
      <c r="G397" s="51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</row>
    <row r="398" spans="1:51" x14ac:dyDescent="0.25">
      <c r="A398" s="28"/>
      <c r="B398" s="58"/>
      <c r="C398" s="28"/>
      <c r="D398" s="58"/>
      <c r="E398" s="58"/>
      <c r="F398" s="51"/>
      <c r="G398" s="51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</row>
    <row r="399" spans="1:51" x14ac:dyDescent="0.25">
      <c r="A399" s="28"/>
      <c r="B399" s="58"/>
      <c r="C399" s="28"/>
      <c r="D399" s="58"/>
      <c r="E399" s="58"/>
      <c r="F399" s="51"/>
      <c r="G399" s="51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</row>
    <row r="400" spans="1:51" x14ac:dyDescent="0.25">
      <c r="A400" s="28"/>
      <c r="B400" s="58"/>
      <c r="C400" s="28"/>
      <c r="D400" s="58"/>
      <c r="E400" s="58"/>
      <c r="F400" s="51"/>
      <c r="G400" s="51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</row>
    <row r="401" spans="1:51" x14ac:dyDescent="0.25">
      <c r="A401" s="28"/>
      <c r="B401" s="58"/>
      <c r="C401" s="28"/>
      <c r="D401" s="58"/>
      <c r="E401" s="58"/>
      <c r="F401" s="51"/>
      <c r="G401" s="51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</row>
    <row r="402" spans="1:51" x14ac:dyDescent="0.25">
      <c r="A402" s="28"/>
      <c r="B402" s="58"/>
      <c r="C402" s="28"/>
      <c r="D402" s="58"/>
      <c r="E402" s="58"/>
      <c r="F402" s="51"/>
      <c r="G402" s="51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</row>
    <row r="403" spans="1:51" x14ac:dyDescent="0.25">
      <c r="A403" s="28"/>
      <c r="B403" s="58"/>
      <c r="C403" s="28"/>
      <c r="D403" s="58"/>
      <c r="E403" s="58"/>
      <c r="F403" s="51"/>
      <c r="G403" s="51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</row>
    <row r="404" spans="1:51" x14ac:dyDescent="0.25">
      <c r="A404" s="28"/>
      <c r="B404" s="58"/>
      <c r="C404" s="28"/>
      <c r="D404" s="58"/>
      <c r="E404" s="58"/>
      <c r="F404" s="51"/>
      <c r="G404" s="51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</row>
    <row r="405" spans="1:51" x14ac:dyDescent="0.25">
      <c r="A405" s="28"/>
      <c r="B405" s="58"/>
      <c r="C405" s="28"/>
      <c r="D405" s="58"/>
      <c r="E405" s="58"/>
      <c r="F405" s="51"/>
      <c r="G405" s="51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</row>
    <row r="406" spans="1:51" x14ac:dyDescent="0.25">
      <c r="A406" s="28"/>
      <c r="B406" s="58"/>
      <c r="C406" s="28"/>
      <c r="D406" s="58"/>
      <c r="E406" s="58"/>
      <c r="F406" s="51"/>
      <c r="G406" s="51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</row>
    <row r="407" spans="1:51" x14ac:dyDescent="0.25">
      <c r="A407" s="28"/>
      <c r="B407" s="58"/>
      <c r="C407" s="28"/>
      <c r="D407" s="58"/>
      <c r="E407" s="58"/>
      <c r="F407" s="51"/>
      <c r="G407" s="51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</row>
    <row r="408" spans="1:51" x14ac:dyDescent="0.25">
      <c r="A408" s="28"/>
      <c r="B408" s="58"/>
      <c r="C408" s="28"/>
      <c r="D408" s="58"/>
      <c r="E408" s="58"/>
      <c r="F408" s="51"/>
      <c r="G408" s="51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</row>
    <row r="409" spans="1:51" x14ac:dyDescent="0.25">
      <c r="A409" s="28"/>
      <c r="B409" s="58"/>
      <c r="C409" s="28"/>
      <c r="D409" s="58"/>
      <c r="E409" s="58"/>
      <c r="F409" s="51"/>
      <c r="G409" s="51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</row>
    <row r="410" spans="1:51" x14ac:dyDescent="0.25">
      <c r="A410" s="28"/>
      <c r="B410" s="58"/>
      <c r="C410" s="28"/>
      <c r="D410" s="58"/>
      <c r="E410" s="58"/>
      <c r="F410" s="51"/>
      <c r="G410" s="51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</row>
    <row r="411" spans="1:51" x14ac:dyDescent="0.25">
      <c r="A411" s="28"/>
      <c r="B411" s="58"/>
      <c r="C411" s="28"/>
      <c r="D411" s="58"/>
      <c r="E411" s="58"/>
      <c r="F411" s="51"/>
      <c r="G411" s="51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</row>
    <row r="412" spans="1:51" x14ac:dyDescent="0.25">
      <c r="A412" s="28"/>
      <c r="B412" s="58"/>
      <c r="C412" s="28"/>
      <c r="D412" s="58"/>
      <c r="E412" s="58"/>
      <c r="F412" s="51"/>
      <c r="G412" s="51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</row>
    <row r="413" spans="1:51" x14ac:dyDescent="0.25">
      <c r="A413" s="28"/>
      <c r="B413" s="58"/>
      <c r="C413" s="28"/>
      <c r="D413" s="58"/>
      <c r="E413" s="58"/>
      <c r="F413" s="51"/>
      <c r="G413" s="51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</row>
    <row r="414" spans="1:51" x14ac:dyDescent="0.25">
      <c r="A414" s="28"/>
      <c r="B414" s="58"/>
      <c r="C414" s="28"/>
      <c r="D414" s="58"/>
      <c r="E414" s="58"/>
      <c r="F414" s="51"/>
      <c r="G414" s="51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</row>
    <row r="415" spans="1:51" x14ac:dyDescent="0.25">
      <c r="A415" s="28"/>
      <c r="B415" s="58"/>
      <c r="C415" s="28"/>
      <c r="D415" s="58"/>
      <c r="E415" s="58"/>
      <c r="F415" s="51"/>
      <c r="G415" s="51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</row>
    <row r="416" spans="1:51" x14ac:dyDescent="0.25">
      <c r="A416" s="28"/>
      <c r="B416" s="58"/>
      <c r="C416" s="28"/>
      <c r="D416" s="58"/>
      <c r="E416" s="58"/>
      <c r="F416" s="51"/>
      <c r="G416" s="51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</row>
    <row r="417" spans="1:51" x14ac:dyDescent="0.25">
      <c r="A417" s="28"/>
      <c r="B417" s="58"/>
      <c r="C417" s="28"/>
      <c r="D417" s="58"/>
      <c r="E417" s="58"/>
      <c r="F417" s="51"/>
      <c r="G417" s="51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</row>
    <row r="418" spans="1:51" x14ac:dyDescent="0.25">
      <c r="A418" s="28"/>
      <c r="B418" s="58"/>
      <c r="C418" s="28"/>
      <c r="D418" s="58"/>
      <c r="E418" s="58"/>
      <c r="F418" s="51"/>
      <c r="G418" s="51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</row>
    <row r="419" spans="1:51" x14ac:dyDescent="0.25">
      <c r="A419" s="28"/>
      <c r="B419" s="58"/>
      <c r="C419" s="28"/>
      <c r="D419" s="58"/>
      <c r="E419" s="58"/>
      <c r="F419" s="51"/>
      <c r="G419" s="51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</row>
    <row r="420" spans="1:51" x14ac:dyDescent="0.25">
      <c r="A420" s="28"/>
      <c r="B420" s="58"/>
      <c r="C420" s="28"/>
      <c r="D420" s="58"/>
      <c r="E420" s="58"/>
      <c r="F420" s="51"/>
      <c r="G420" s="51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</row>
    <row r="421" spans="1:51" x14ac:dyDescent="0.25">
      <c r="A421" s="28"/>
      <c r="B421" s="58"/>
      <c r="C421" s="28"/>
      <c r="D421" s="58"/>
      <c r="E421" s="58"/>
      <c r="F421" s="51"/>
      <c r="G421" s="51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</row>
    <row r="422" spans="1:51" x14ac:dyDescent="0.25">
      <c r="A422" s="28"/>
      <c r="B422" s="58"/>
      <c r="C422" s="28"/>
      <c r="D422" s="58"/>
      <c r="E422" s="58"/>
      <c r="F422" s="51"/>
      <c r="G422" s="51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</row>
    <row r="423" spans="1:51" x14ac:dyDescent="0.25">
      <c r="A423" s="28"/>
      <c r="B423" s="58"/>
      <c r="C423" s="28"/>
      <c r="D423" s="58"/>
      <c r="E423" s="58"/>
      <c r="F423" s="51"/>
      <c r="G423" s="51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</row>
    <row r="424" spans="1:51" x14ac:dyDescent="0.25">
      <c r="A424" s="28"/>
      <c r="B424" s="58"/>
      <c r="C424" s="28"/>
      <c r="D424" s="58"/>
      <c r="E424" s="58"/>
      <c r="F424" s="51"/>
      <c r="G424" s="51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</row>
    <row r="425" spans="1:51" x14ac:dyDescent="0.25">
      <c r="A425" s="28"/>
      <c r="B425" s="58"/>
      <c r="C425" s="28"/>
      <c r="D425" s="58"/>
      <c r="E425" s="58"/>
      <c r="F425" s="51"/>
      <c r="G425" s="51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</row>
    <row r="426" spans="1:51" x14ac:dyDescent="0.25">
      <c r="A426" s="28"/>
      <c r="B426" s="58"/>
      <c r="C426" s="28"/>
      <c r="D426" s="58"/>
      <c r="E426" s="58"/>
      <c r="F426" s="51"/>
      <c r="G426" s="51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</row>
    <row r="427" spans="1:51" x14ac:dyDescent="0.25">
      <c r="A427" s="28"/>
      <c r="B427" s="58"/>
      <c r="C427" s="28"/>
      <c r="D427" s="58"/>
      <c r="E427" s="58"/>
      <c r="F427" s="51"/>
      <c r="G427" s="51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</row>
    <row r="428" spans="1:51" x14ac:dyDescent="0.25">
      <c r="A428" s="28"/>
      <c r="B428" s="58"/>
      <c r="C428" s="28"/>
      <c r="D428" s="58"/>
      <c r="E428" s="58"/>
      <c r="F428" s="51"/>
      <c r="G428" s="51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</row>
    <row r="429" spans="1:51" x14ac:dyDescent="0.25">
      <c r="A429" s="28"/>
      <c r="B429" s="58"/>
      <c r="C429" s="28"/>
      <c r="D429" s="58"/>
      <c r="E429" s="58"/>
      <c r="F429" s="51"/>
      <c r="G429" s="51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</row>
    <row r="430" spans="1:51" x14ac:dyDescent="0.25">
      <c r="A430" s="28"/>
      <c r="B430" s="58"/>
      <c r="C430" s="28"/>
      <c r="D430" s="58"/>
      <c r="E430" s="58"/>
      <c r="F430" s="51"/>
      <c r="G430" s="51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</row>
    <row r="431" spans="1:51" x14ac:dyDescent="0.25">
      <c r="A431" s="28"/>
      <c r="B431" s="58"/>
      <c r="C431" s="28"/>
      <c r="D431" s="58"/>
      <c r="E431" s="58"/>
      <c r="F431" s="51"/>
      <c r="G431" s="51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</row>
    <row r="432" spans="1:51" x14ac:dyDescent="0.25">
      <c r="A432" s="28"/>
      <c r="B432" s="58"/>
      <c r="C432" s="28"/>
      <c r="D432" s="58"/>
      <c r="E432" s="58"/>
      <c r="F432" s="51"/>
      <c r="G432" s="51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</row>
    <row r="433" spans="1:51" x14ac:dyDescent="0.25">
      <c r="A433" s="28"/>
      <c r="B433" s="58"/>
      <c r="C433" s="28"/>
      <c r="D433" s="58"/>
      <c r="E433" s="58"/>
      <c r="F433" s="51"/>
      <c r="G433" s="51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</row>
    <row r="434" spans="1:51" x14ac:dyDescent="0.25">
      <c r="A434" s="28"/>
      <c r="B434" s="58"/>
      <c r="C434" s="28"/>
      <c r="D434" s="58"/>
      <c r="E434" s="58"/>
      <c r="F434" s="51"/>
      <c r="G434" s="51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</row>
    <row r="435" spans="1:51" x14ac:dyDescent="0.25">
      <c r="A435" s="28"/>
      <c r="B435" s="58"/>
      <c r="C435" s="28"/>
      <c r="D435" s="58"/>
      <c r="E435" s="58"/>
      <c r="F435" s="51"/>
      <c r="G435" s="51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</row>
    <row r="436" spans="1:51" x14ac:dyDescent="0.25">
      <c r="A436" s="28"/>
      <c r="B436" s="58"/>
      <c r="C436" s="28"/>
      <c r="D436" s="58"/>
      <c r="E436" s="58"/>
      <c r="F436" s="51"/>
      <c r="G436" s="51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</row>
    <row r="437" spans="1:51" x14ac:dyDescent="0.25">
      <c r="A437" s="28"/>
      <c r="B437" s="58"/>
      <c r="C437" s="28"/>
      <c r="D437" s="58"/>
      <c r="E437" s="58"/>
      <c r="F437" s="51"/>
      <c r="G437" s="51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</row>
    <row r="438" spans="1:51" x14ac:dyDescent="0.25">
      <c r="A438" s="28"/>
      <c r="B438" s="58"/>
      <c r="C438" s="28"/>
      <c r="D438" s="58"/>
      <c r="E438" s="58"/>
      <c r="F438" s="51"/>
      <c r="G438" s="51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</row>
    <row r="439" spans="1:51" x14ac:dyDescent="0.25">
      <c r="A439" s="28"/>
      <c r="B439" s="58"/>
      <c r="C439" s="28"/>
      <c r="D439" s="58"/>
      <c r="E439" s="58"/>
      <c r="F439" s="51"/>
      <c r="G439" s="51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</row>
    <row r="440" spans="1:51" x14ac:dyDescent="0.25">
      <c r="A440" s="28"/>
      <c r="B440" s="58"/>
      <c r="C440" s="28"/>
      <c r="D440" s="58"/>
      <c r="E440" s="58"/>
      <c r="F440" s="51"/>
      <c r="G440" s="51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</row>
    <row r="441" spans="1:51" x14ac:dyDescent="0.25">
      <c r="A441" s="28"/>
      <c r="B441" s="58"/>
      <c r="C441" s="28"/>
      <c r="D441" s="58"/>
      <c r="E441" s="58"/>
      <c r="F441" s="51"/>
      <c r="G441" s="51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</row>
    <row r="442" spans="1:51" x14ac:dyDescent="0.25">
      <c r="A442" s="28"/>
      <c r="B442" s="58"/>
      <c r="C442" s="28"/>
      <c r="D442" s="58"/>
      <c r="E442" s="58"/>
      <c r="F442" s="51"/>
      <c r="G442" s="51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</row>
    <row r="443" spans="1:51" x14ac:dyDescent="0.25">
      <c r="A443" s="28"/>
      <c r="B443" s="58"/>
      <c r="C443" s="28"/>
      <c r="D443" s="58"/>
      <c r="E443" s="58"/>
      <c r="F443" s="51"/>
      <c r="G443" s="51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</row>
    <row r="444" spans="1:51" x14ac:dyDescent="0.25">
      <c r="A444" s="28"/>
      <c r="B444" s="58"/>
      <c r="C444" s="28"/>
      <c r="D444" s="58"/>
      <c r="E444" s="58"/>
      <c r="F444" s="51"/>
      <c r="G444" s="51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</row>
    <row r="445" spans="1:51" x14ac:dyDescent="0.25">
      <c r="A445" s="28"/>
      <c r="B445" s="58"/>
      <c r="C445" s="28"/>
      <c r="D445" s="58"/>
      <c r="E445" s="58"/>
      <c r="F445" s="51"/>
      <c r="G445" s="51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</row>
    <row r="446" spans="1:51" x14ac:dyDescent="0.25">
      <c r="A446" s="28"/>
      <c r="B446" s="58"/>
      <c r="C446" s="28"/>
      <c r="D446" s="58"/>
      <c r="E446" s="58"/>
      <c r="F446" s="51"/>
      <c r="G446" s="51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</row>
    <row r="447" spans="1:51" x14ac:dyDescent="0.25">
      <c r="A447" s="28"/>
      <c r="B447" s="58"/>
      <c r="C447" s="28"/>
      <c r="D447" s="58"/>
      <c r="E447" s="58"/>
      <c r="F447" s="51"/>
      <c r="G447" s="51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</row>
    <row r="448" spans="1:51" x14ac:dyDescent="0.25">
      <c r="A448" s="28"/>
      <c r="B448" s="58"/>
      <c r="C448" s="28"/>
      <c r="D448" s="58"/>
      <c r="E448" s="58"/>
      <c r="F448" s="51"/>
      <c r="G448" s="51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</row>
    <row r="449" spans="1:51" x14ac:dyDescent="0.25">
      <c r="A449" s="28"/>
      <c r="B449" s="58"/>
      <c r="C449" s="28"/>
      <c r="D449" s="58"/>
      <c r="E449" s="58"/>
      <c r="F449" s="51"/>
      <c r="G449" s="51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</row>
    <row r="450" spans="1:51" x14ac:dyDescent="0.25">
      <c r="A450" s="28"/>
      <c r="B450" s="58"/>
      <c r="C450" s="28"/>
      <c r="D450" s="58"/>
      <c r="E450" s="58"/>
      <c r="F450" s="51"/>
      <c r="G450" s="51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</row>
    <row r="451" spans="1:51" x14ac:dyDescent="0.25">
      <c r="A451" s="28"/>
      <c r="B451" s="58"/>
      <c r="C451" s="28"/>
      <c r="D451" s="58"/>
      <c r="E451" s="58"/>
      <c r="F451" s="51"/>
      <c r="G451" s="51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</row>
    <row r="452" spans="1:51" x14ac:dyDescent="0.25">
      <c r="A452" s="28"/>
      <c r="B452" s="58"/>
      <c r="C452" s="28"/>
      <c r="D452" s="58"/>
      <c r="E452" s="58"/>
      <c r="F452" s="51"/>
      <c r="G452" s="51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</row>
    <row r="453" spans="1:51" x14ac:dyDescent="0.25">
      <c r="A453" s="28"/>
      <c r="B453" s="58"/>
      <c r="C453" s="28"/>
      <c r="D453" s="58"/>
      <c r="E453" s="58"/>
      <c r="F453" s="51"/>
      <c r="G453" s="51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</row>
    <row r="454" spans="1:51" x14ac:dyDescent="0.25">
      <c r="A454" s="28"/>
      <c r="B454" s="58"/>
      <c r="C454" s="28"/>
      <c r="D454" s="58"/>
      <c r="E454" s="58"/>
      <c r="F454" s="51"/>
      <c r="G454" s="51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</row>
    <row r="455" spans="1:51" x14ac:dyDescent="0.25">
      <c r="A455" s="28"/>
      <c r="B455" s="58"/>
      <c r="C455" s="28"/>
      <c r="D455" s="58"/>
      <c r="E455" s="58"/>
      <c r="F455" s="51"/>
      <c r="G455" s="51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</row>
    <row r="456" spans="1:51" x14ac:dyDescent="0.25">
      <c r="A456" s="28"/>
      <c r="B456" s="58"/>
      <c r="C456" s="28"/>
      <c r="D456" s="58"/>
      <c r="E456" s="58"/>
      <c r="F456" s="51"/>
      <c r="G456" s="51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</row>
    <row r="457" spans="1:51" x14ac:dyDescent="0.25">
      <c r="A457" s="28"/>
      <c r="B457" s="58"/>
      <c r="C457" s="28"/>
      <c r="D457" s="58"/>
      <c r="E457" s="58"/>
      <c r="F457" s="51"/>
      <c r="G457" s="51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</row>
    <row r="458" spans="1:51" x14ac:dyDescent="0.25">
      <c r="A458" s="28"/>
      <c r="B458" s="58"/>
      <c r="C458" s="28"/>
      <c r="D458" s="58"/>
      <c r="E458" s="58"/>
      <c r="F458" s="51"/>
      <c r="G458" s="51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</row>
    <row r="459" spans="1:51" x14ac:dyDescent="0.25">
      <c r="A459" s="28"/>
      <c r="B459" s="58"/>
      <c r="C459" s="28"/>
      <c r="D459" s="58"/>
      <c r="E459" s="58"/>
      <c r="F459" s="51"/>
      <c r="G459" s="51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</row>
    <row r="460" spans="1:51" x14ac:dyDescent="0.25">
      <c r="A460" s="28"/>
      <c r="B460" s="58"/>
      <c r="C460" s="28"/>
      <c r="D460" s="58"/>
      <c r="E460" s="58"/>
      <c r="F460" s="51"/>
      <c r="G460" s="51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</row>
    <row r="461" spans="1:51" x14ac:dyDescent="0.25">
      <c r="A461" s="28"/>
      <c r="B461" s="58"/>
      <c r="C461" s="28"/>
      <c r="D461" s="58"/>
      <c r="E461" s="58"/>
      <c r="F461" s="51"/>
      <c r="G461" s="51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</row>
    <row r="462" spans="1:51" x14ac:dyDescent="0.25">
      <c r="A462" s="28"/>
      <c r="B462" s="58"/>
      <c r="C462" s="28"/>
      <c r="D462" s="58"/>
      <c r="E462" s="58"/>
      <c r="F462" s="51"/>
      <c r="G462" s="51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</row>
    <row r="463" spans="1:51" x14ac:dyDescent="0.25">
      <c r="A463" s="28"/>
      <c r="B463" s="58"/>
      <c r="C463" s="28"/>
      <c r="D463" s="58"/>
      <c r="E463" s="58"/>
      <c r="F463" s="51"/>
      <c r="G463" s="51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</row>
    <row r="464" spans="1:51" x14ac:dyDescent="0.25">
      <c r="A464" s="28"/>
      <c r="B464" s="58"/>
      <c r="C464" s="28"/>
      <c r="D464" s="58"/>
      <c r="E464" s="58"/>
      <c r="F464" s="51"/>
      <c r="G464" s="51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</row>
    <row r="465" spans="1:51" x14ac:dyDescent="0.25">
      <c r="A465" s="28"/>
      <c r="B465" s="58"/>
      <c r="C465" s="28"/>
      <c r="D465" s="58"/>
      <c r="E465" s="58"/>
      <c r="F465" s="51"/>
      <c r="G465" s="51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</row>
    <row r="466" spans="1:51" x14ac:dyDescent="0.25">
      <c r="A466" s="28"/>
      <c r="B466" s="58"/>
      <c r="C466" s="28"/>
      <c r="D466" s="58"/>
      <c r="E466" s="58"/>
      <c r="F466" s="51"/>
      <c r="G466" s="51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</row>
    <row r="467" spans="1:51" x14ac:dyDescent="0.25">
      <c r="A467" s="28"/>
      <c r="B467" s="58"/>
      <c r="C467" s="28"/>
      <c r="D467" s="58"/>
      <c r="E467" s="58"/>
      <c r="F467" s="51"/>
      <c r="G467" s="51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</row>
    <row r="468" spans="1:51" x14ac:dyDescent="0.25">
      <c r="A468" s="28"/>
      <c r="B468" s="58"/>
      <c r="C468" s="28"/>
      <c r="D468" s="58"/>
      <c r="E468" s="58"/>
      <c r="F468" s="51"/>
      <c r="G468" s="51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</row>
    <row r="469" spans="1:51" x14ac:dyDescent="0.25">
      <c r="A469" s="28"/>
      <c r="B469" s="58"/>
      <c r="C469" s="28"/>
      <c r="D469" s="58"/>
      <c r="E469" s="58"/>
      <c r="F469" s="51"/>
      <c r="G469" s="51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</row>
    <row r="470" spans="1:51" x14ac:dyDescent="0.25">
      <c r="A470" s="28"/>
      <c r="B470" s="58"/>
      <c r="C470" s="28"/>
      <c r="D470" s="58"/>
      <c r="E470" s="58"/>
      <c r="F470" s="51"/>
      <c r="G470" s="51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</row>
    <row r="471" spans="1:51" x14ac:dyDescent="0.25">
      <c r="A471" s="28"/>
      <c r="B471" s="58"/>
      <c r="C471" s="28"/>
      <c r="D471" s="58"/>
      <c r="E471" s="58"/>
      <c r="F471" s="51"/>
      <c r="G471" s="51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</row>
    <row r="472" spans="1:51" x14ac:dyDescent="0.25">
      <c r="A472" s="28"/>
      <c r="B472" s="58"/>
      <c r="C472" s="28"/>
      <c r="D472" s="58"/>
      <c r="E472" s="58"/>
      <c r="F472" s="51"/>
      <c r="G472" s="51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</row>
    <row r="473" spans="1:51" x14ac:dyDescent="0.25">
      <c r="A473" s="28"/>
      <c r="B473" s="58"/>
      <c r="C473" s="28"/>
      <c r="D473" s="58"/>
      <c r="E473" s="58"/>
      <c r="F473" s="51"/>
      <c r="G473" s="51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</row>
    <row r="474" spans="1:51" x14ac:dyDescent="0.25">
      <c r="A474" s="28"/>
      <c r="B474" s="58"/>
      <c r="C474" s="28"/>
      <c r="D474" s="58"/>
      <c r="E474" s="58"/>
      <c r="F474" s="51"/>
      <c r="G474" s="51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</row>
    <row r="475" spans="1:51" x14ac:dyDescent="0.25">
      <c r="A475" s="28"/>
      <c r="B475" s="58"/>
      <c r="C475" s="28"/>
      <c r="D475" s="58"/>
      <c r="E475" s="58"/>
      <c r="F475" s="51"/>
      <c r="G475" s="51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</row>
    <row r="476" spans="1:51" x14ac:dyDescent="0.25">
      <c r="A476" s="28"/>
      <c r="B476" s="58"/>
      <c r="C476" s="28"/>
      <c r="D476" s="58"/>
      <c r="E476" s="58"/>
      <c r="F476" s="51"/>
      <c r="G476" s="51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</row>
    <row r="477" spans="1:51" x14ac:dyDescent="0.25">
      <c r="A477" s="28"/>
      <c r="B477" s="58"/>
      <c r="C477" s="28"/>
      <c r="D477" s="58"/>
      <c r="E477" s="58"/>
      <c r="F477" s="51"/>
      <c r="G477" s="51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</row>
    <row r="478" spans="1:51" x14ac:dyDescent="0.25">
      <c r="A478" s="28"/>
      <c r="B478" s="58"/>
      <c r="C478" s="28"/>
      <c r="D478" s="58"/>
      <c r="E478" s="58"/>
      <c r="F478" s="51"/>
      <c r="G478" s="51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</row>
    <row r="479" spans="1:51" x14ac:dyDescent="0.25">
      <c r="A479" s="28"/>
      <c r="B479" s="58"/>
      <c r="C479" s="28"/>
      <c r="D479" s="58"/>
      <c r="E479" s="58"/>
      <c r="F479" s="51"/>
      <c r="G479" s="51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</row>
    <row r="480" spans="1:51" x14ac:dyDescent="0.25">
      <c r="A480" s="28"/>
      <c r="B480" s="58"/>
      <c r="C480" s="28"/>
      <c r="D480" s="58"/>
      <c r="E480" s="58"/>
      <c r="F480" s="51"/>
      <c r="G480" s="51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</row>
    <row r="481" spans="1:51" x14ac:dyDescent="0.25">
      <c r="A481" s="28"/>
      <c r="B481" s="58"/>
      <c r="C481" s="28"/>
      <c r="D481" s="58"/>
      <c r="E481" s="58"/>
      <c r="F481" s="51"/>
      <c r="G481" s="51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</row>
    <row r="482" spans="1:51" x14ac:dyDescent="0.25">
      <c r="A482" s="28"/>
      <c r="B482" s="58"/>
      <c r="C482" s="28"/>
      <c r="D482" s="58"/>
      <c r="E482" s="58"/>
      <c r="F482" s="51"/>
      <c r="G482" s="51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</row>
    <row r="483" spans="1:51" x14ac:dyDescent="0.25">
      <c r="A483" s="28"/>
      <c r="B483" s="58"/>
      <c r="C483" s="28"/>
      <c r="D483" s="58"/>
      <c r="E483" s="58"/>
      <c r="F483" s="51"/>
      <c r="G483" s="51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</row>
    <row r="484" spans="1:51" x14ac:dyDescent="0.25">
      <c r="A484" s="28"/>
      <c r="B484" s="58"/>
      <c r="C484" s="28"/>
      <c r="D484" s="58"/>
      <c r="E484" s="58"/>
      <c r="F484" s="51"/>
      <c r="G484" s="51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</row>
    <row r="485" spans="1:51" x14ac:dyDescent="0.25">
      <c r="A485" s="28"/>
      <c r="B485" s="58"/>
      <c r="C485" s="28"/>
      <c r="D485" s="58"/>
      <c r="E485" s="58"/>
      <c r="F485" s="51"/>
      <c r="G485" s="51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</row>
    <row r="486" spans="1:51" x14ac:dyDescent="0.25">
      <c r="A486" s="28"/>
      <c r="B486" s="58"/>
      <c r="C486" s="28"/>
      <c r="D486" s="58"/>
      <c r="E486" s="58"/>
      <c r="F486" s="51"/>
      <c r="G486" s="51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</row>
    <row r="487" spans="1:51" x14ac:dyDescent="0.25">
      <c r="A487" s="28"/>
      <c r="B487" s="58"/>
      <c r="C487" s="28"/>
      <c r="D487" s="58"/>
      <c r="E487" s="58"/>
      <c r="F487" s="51"/>
      <c r="G487" s="51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</row>
    <row r="488" spans="1:51" x14ac:dyDescent="0.25">
      <c r="A488" s="28"/>
      <c r="B488" s="58"/>
      <c r="C488" s="28"/>
      <c r="D488" s="58"/>
      <c r="E488" s="58"/>
      <c r="F488" s="51"/>
      <c r="G488" s="51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</row>
    <row r="489" spans="1:51" x14ac:dyDescent="0.25">
      <c r="A489" s="28"/>
      <c r="B489" s="58"/>
      <c r="C489" s="28"/>
      <c r="D489" s="58"/>
      <c r="E489" s="58"/>
      <c r="F489" s="51"/>
      <c r="G489" s="51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</row>
    <row r="490" spans="1:51" x14ac:dyDescent="0.25">
      <c r="A490" s="28"/>
      <c r="B490" s="58"/>
      <c r="C490" s="28"/>
      <c r="D490" s="58"/>
      <c r="E490" s="58"/>
      <c r="F490" s="51"/>
      <c r="G490" s="51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</row>
    <row r="491" spans="1:51" x14ac:dyDescent="0.25">
      <c r="A491" s="28"/>
      <c r="B491" s="58"/>
      <c r="C491" s="28"/>
      <c r="D491" s="58"/>
      <c r="E491" s="58"/>
      <c r="F491" s="51"/>
      <c r="G491" s="51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</row>
    <row r="492" spans="1:51" x14ac:dyDescent="0.25">
      <c r="A492" s="28"/>
      <c r="B492" s="58"/>
      <c r="C492" s="28"/>
      <c r="D492" s="58"/>
      <c r="E492" s="58"/>
      <c r="F492" s="51"/>
      <c r="G492" s="51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</row>
    <row r="493" spans="1:51" x14ac:dyDescent="0.25">
      <c r="A493" s="28"/>
      <c r="B493" s="58"/>
      <c r="C493" s="28"/>
      <c r="D493" s="58"/>
      <c r="E493" s="58"/>
      <c r="F493" s="51"/>
      <c r="G493" s="51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</row>
    <row r="494" spans="1:51" x14ac:dyDescent="0.25">
      <c r="A494" s="28"/>
      <c r="B494" s="58"/>
      <c r="C494" s="28"/>
      <c r="D494" s="58"/>
      <c r="E494" s="58"/>
      <c r="F494" s="51"/>
      <c r="G494" s="51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</row>
    <row r="495" spans="1:51" x14ac:dyDescent="0.25">
      <c r="A495" s="28"/>
      <c r="B495" s="58"/>
      <c r="C495" s="28"/>
      <c r="D495" s="58"/>
      <c r="E495" s="58"/>
      <c r="F495" s="51"/>
      <c r="G495" s="51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</row>
    <row r="496" spans="1:51" x14ac:dyDescent="0.25">
      <c r="A496" s="28"/>
      <c r="B496" s="58"/>
      <c r="C496" s="28"/>
      <c r="D496" s="58"/>
      <c r="E496" s="58"/>
      <c r="F496" s="51"/>
      <c r="G496" s="51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</row>
    <row r="497" spans="1:51" x14ac:dyDescent="0.25">
      <c r="A497" s="28"/>
      <c r="B497" s="58"/>
      <c r="C497" s="28"/>
      <c r="D497" s="58"/>
      <c r="E497" s="58"/>
      <c r="F497" s="51"/>
      <c r="G497" s="51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</row>
    <row r="498" spans="1:51" x14ac:dyDescent="0.25">
      <c r="A498" s="28"/>
      <c r="B498" s="58"/>
      <c r="C498" s="28"/>
      <c r="D498" s="58"/>
      <c r="E498" s="58"/>
      <c r="F498" s="51"/>
      <c r="G498" s="51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</row>
    <row r="499" spans="1:51" x14ac:dyDescent="0.25">
      <c r="A499" s="28"/>
      <c r="B499" s="58"/>
      <c r="C499" s="28"/>
      <c r="D499" s="58"/>
      <c r="E499" s="58"/>
      <c r="F499" s="51"/>
      <c r="G499" s="51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</row>
    <row r="500" spans="1:51" x14ac:dyDescent="0.25">
      <c r="A500" s="28"/>
      <c r="B500" s="58"/>
      <c r="C500" s="28"/>
      <c r="D500" s="58"/>
      <c r="E500" s="58"/>
      <c r="F500" s="51"/>
      <c r="G500" s="51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</row>
    <row r="501" spans="1:51" x14ac:dyDescent="0.25">
      <c r="A501" s="28"/>
      <c r="B501" s="58"/>
      <c r="C501" s="28"/>
      <c r="D501" s="58"/>
      <c r="E501" s="58"/>
      <c r="F501" s="51"/>
      <c r="G501" s="51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</row>
    <row r="502" spans="1:51" x14ac:dyDescent="0.25">
      <c r="A502" s="28"/>
      <c r="B502" s="58"/>
      <c r="C502" s="28"/>
      <c r="D502" s="58"/>
      <c r="E502" s="58"/>
      <c r="F502" s="51"/>
      <c r="G502" s="51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</row>
    <row r="503" spans="1:51" x14ac:dyDescent="0.25">
      <c r="A503" s="28"/>
      <c r="B503" s="58"/>
      <c r="C503" s="28"/>
      <c r="D503" s="58"/>
      <c r="E503" s="58"/>
      <c r="F503" s="51"/>
      <c r="G503" s="51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</row>
    <row r="504" spans="1:51" x14ac:dyDescent="0.25">
      <c r="A504" s="28"/>
      <c r="B504" s="58"/>
      <c r="C504" s="28"/>
      <c r="D504" s="58"/>
      <c r="E504" s="58"/>
      <c r="F504" s="51"/>
      <c r="G504" s="51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</row>
    <row r="505" spans="1:51" x14ac:dyDescent="0.25">
      <c r="A505" s="28"/>
      <c r="B505" s="58"/>
      <c r="C505" s="28"/>
      <c r="D505" s="58"/>
      <c r="E505" s="58"/>
      <c r="F505" s="51"/>
      <c r="G505" s="51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</row>
    <row r="506" spans="1:51" x14ac:dyDescent="0.25">
      <c r="A506" s="28"/>
      <c r="B506" s="58"/>
      <c r="C506" s="28"/>
      <c r="D506" s="58"/>
      <c r="E506" s="58"/>
      <c r="F506" s="51"/>
      <c r="G506" s="51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</row>
    <row r="507" spans="1:51" x14ac:dyDescent="0.25">
      <c r="A507" s="28"/>
      <c r="B507" s="58"/>
      <c r="C507" s="28"/>
      <c r="D507" s="58"/>
      <c r="E507" s="58"/>
      <c r="F507" s="51"/>
      <c r="G507" s="51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</row>
    <row r="508" spans="1:51" x14ac:dyDescent="0.25">
      <c r="A508" s="28"/>
      <c r="B508" s="58"/>
      <c r="C508" s="28"/>
      <c r="D508" s="58"/>
      <c r="E508" s="58"/>
      <c r="F508" s="51"/>
      <c r="G508" s="51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</row>
    <row r="509" spans="1:51" x14ac:dyDescent="0.25">
      <c r="A509" s="28"/>
      <c r="B509" s="58"/>
      <c r="C509" s="28"/>
      <c r="D509" s="58"/>
      <c r="E509" s="58"/>
      <c r="F509" s="51"/>
      <c r="G509" s="51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</row>
    <row r="510" spans="1:51" x14ac:dyDescent="0.25">
      <c r="A510" s="28"/>
      <c r="B510" s="58"/>
      <c r="C510" s="28"/>
      <c r="D510" s="58"/>
      <c r="E510" s="58"/>
      <c r="F510" s="51"/>
      <c r="G510" s="51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</row>
    <row r="511" spans="1:51" x14ac:dyDescent="0.25">
      <c r="A511" s="28"/>
      <c r="B511" s="58"/>
      <c r="C511" s="28"/>
      <c r="D511" s="58"/>
      <c r="E511" s="58"/>
      <c r="F511" s="51"/>
      <c r="G511" s="51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</row>
    <row r="512" spans="1:51" x14ac:dyDescent="0.25">
      <c r="A512" s="28"/>
      <c r="B512" s="58"/>
      <c r="C512" s="28"/>
      <c r="D512" s="58"/>
      <c r="E512" s="58"/>
      <c r="F512" s="51"/>
      <c r="G512" s="51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</row>
    <row r="513" spans="1:51" x14ac:dyDescent="0.25">
      <c r="A513" s="28"/>
      <c r="B513" s="58"/>
      <c r="C513" s="28"/>
      <c r="D513" s="58"/>
      <c r="E513" s="58"/>
      <c r="F513" s="51"/>
      <c r="G513" s="51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</row>
    <row r="514" spans="1:51" x14ac:dyDescent="0.25">
      <c r="A514" s="28"/>
      <c r="B514" s="58"/>
      <c r="C514" s="28"/>
      <c r="D514" s="58"/>
      <c r="E514" s="58"/>
      <c r="F514" s="51"/>
      <c r="G514" s="51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</row>
    <row r="515" spans="1:51" x14ac:dyDescent="0.25">
      <c r="A515" s="28"/>
      <c r="B515" s="58"/>
      <c r="C515" s="28"/>
      <c r="D515" s="58"/>
      <c r="E515" s="58"/>
      <c r="F515" s="51"/>
      <c r="G515" s="51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</row>
    <row r="516" spans="1:51" x14ac:dyDescent="0.25">
      <c r="A516" s="28"/>
      <c r="B516" s="58"/>
      <c r="C516" s="28"/>
      <c r="D516" s="58"/>
      <c r="E516" s="58"/>
      <c r="F516" s="51"/>
      <c r="G516" s="51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</row>
    <row r="517" spans="1:51" x14ac:dyDescent="0.25">
      <c r="A517" s="28"/>
      <c r="B517" s="58"/>
      <c r="C517" s="28"/>
      <c r="D517" s="58"/>
      <c r="E517" s="58"/>
      <c r="F517" s="51"/>
      <c r="G517" s="51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</row>
    <row r="518" spans="1:51" x14ac:dyDescent="0.25">
      <c r="A518" s="28"/>
      <c r="B518" s="58"/>
      <c r="C518" s="28"/>
      <c r="D518" s="58"/>
      <c r="E518" s="58"/>
      <c r="F518" s="51"/>
      <c r="G518" s="51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</row>
    <row r="519" spans="1:51" x14ac:dyDescent="0.25">
      <c r="A519" s="28"/>
      <c r="B519" s="58"/>
      <c r="C519" s="28"/>
      <c r="D519" s="58"/>
      <c r="E519" s="58"/>
      <c r="F519" s="51"/>
      <c r="G519" s="51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</row>
    <row r="520" spans="1:51" x14ac:dyDescent="0.25">
      <c r="A520" s="28"/>
      <c r="B520" s="58"/>
      <c r="C520" s="28"/>
      <c r="D520" s="58"/>
      <c r="E520" s="58"/>
      <c r="F520" s="51"/>
      <c r="G520" s="51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</row>
    <row r="521" spans="1:51" x14ac:dyDescent="0.25">
      <c r="A521" s="28"/>
      <c r="B521" s="58"/>
      <c r="C521" s="28"/>
      <c r="D521" s="58"/>
      <c r="E521" s="58"/>
      <c r="F521" s="51"/>
      <c r="G521" s="51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</row>
    <row r="522" spans="1:51" x14ac:dyDescent="0.25">
      <c r="A522" s="28"/>
      <c r="B522" s="58"/>
      <c r="C522" s="28"/>
      <c r="D522" s="58"/>
      <c r="E522" s="58"/>
      <c r="F522" s="51"/>
      <c r="G522" s="51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</row>
    <row r="523" spans="1:51" x14ac:dyDescent="0.25">
      <c r="A523" s="28"/>
      <c r="B523" s="58"/>
      <c r="C523" s="28"/>
      <c r="D523" s="58"/>
      <c r="E523" s="58"/>
      <c r="F523" s="51"/>
      <c r="G523" s="51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</row>
    <row r="524" spans="1:51" x14ac:dyDescent="0.25">
      <c r="A524" s="28"/>
      <c r="B524" s="58"/>
      <c r="C524" s="28"/>
      <c r="D524" s="58"/>
      <c r="E524" s="58"/>
      <c r="F524" s="51"/>
      <c r="G524" s="51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</row>
    <row r="525" spans="1:51" x14ac:dyDescent="0.25">
      <c r="A525" s="28"/>
      <c r="B525" s="58"/>
      <c r="C525" s="28"/>
      <c r="D525" s="58"/>
      <c r="E525" s="58"/>
      <c r="F525" s="51"/>
      <c r="G525" s="51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</row>
    <row r="526" spans="1:51" x14ac:dyDescent="0.25">
      <c r="A526" s="28"/>
      <c r="B526" s="58"/>
      <c r="C526" s="28"/>
      <c r="D526" s="58"/>
      <c r="E526" s="58"/>
      <c r="F526" s="51"/>
      <c r="G526" s="51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</row>
    <row r="527" spans="1:51" x14ac:dyDescent="0.25">
      <c r="A527" s="28"/>
      <c r="B527" s="58"/>
      <c r="C527" s="28"/>
      <c r="D527" s="58"/>
      <c r="E527" s="58"/>
      <c r="F527" s="51"/>
      <c r="G527" s="51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</row>
    <row r="528" spans="1:51" x14ac:dyDescent="0.25">
      <c r="A528" s="28"/>
      <c r="B528" s="58"/>
      <c r="C528" s="28"/>
      <c r="D528" s="58"/>
      <c r="E528" s="58"/>
      <c r="F528" s="51"/>
      <c r="G528" s="51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</row>
    <row r="529" spans="1:51" x14ac:dyDescent="0.25">
      <c r="A529" s="28"/>
      <c r="B529" s="58"/>
      <c r="C529" s="28"/>
      <c r="D529" s="58"/>
      <c r="E529" s="58"/>
      <c r="F529" s="51"/>
      <c r="G529" s="51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</row>
    <row r="530" spans="1:51" x14ac:dyDescent="0.25">
      <c r="A530" s="28"/>
      <c r="B530" s="58"/>
      <c r="C530" s="28"/>
      <c r="D530" s="58"/>
      <c r="E530" s="58"/>
      <c r="F530" s="51"/>
      <c r="G530" s="51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</row>
    <row r="531" spans="1:51" x14ac:dyDescent="0.25">
      <c r="A531" s="28"/>
      <c r="B531" s="58"/>
      <c r="C531" s="28"/>
      <c r="D531" s="58"/>
      <c r="E531" s="58"/>
      <c r="F531" s="51"/>
      <c r="G531" s="51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</row>
    <row r="532" spans="1:51" x14ac:dyDescent="0.25">
      <c r="A532" s="28"/>
      <c r="B532" s="58"/>
      <c r="C532" s="28"/>
      <c r="D532" s="58"/>
      <c r="E532" s="58"/>
      <c r="F532" s="51"/>
      <c r="G532" s="51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</row>
    <row r="533" spans="1:51" x14ac:dyDescent="0.25">
      <c r="A533" s="28"/>
      <c r="B533" s="58"/>
      <c r="C533" s="28"/>
      <c r="D533" s="58"/>
      <c r="E533" s="58"/>
      <c r="F533" s="51"/>
      <c r="G533" s="51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</row>
    <row r="534" spans="1:51" x14ac:dyDescent="0.25">
      <c r="A534" s="28"/>
      <c r="B534" s="58"/>
      <c r="C534" s="28"/>
      <c r="D534" s="58"/>
      <c r="E534" s="58"/>
      <c r="F534" s="51"/>
      <c r="G534" s="51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</row>
    <row r="535" spans="1:51" x14ac:dyDescent="0.25">
      <c r="A535" s="28"/>
      <c r="B535" s="58"/>
      <c r="C535" s="28"/>
      <c r="D535" s="58"/>
      <c r="E535" s="58"/>
      <c r="F535" s="51"/>
      <c r="G535" s="51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</row>
    <row r="536" spans="1:51" x14ac:dyDescent="0.25">
      <c r="A536" s="28"/>
      <c r="B536" s="58"/>
      <c r="C536" s="28"/>
      <c r="D536" s="58"/>
      <c r="E536" s="58"/>
      <c r="F536" s="51"/>
      <c r="G536" s="51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</row>
    <row r="537" spans="1:51" x14ac:dyDescent="0.25">
      <c r="A537" s="28"/>
      <c r="B537" s="58"/>
      <c r="C537" s="28"/>
      <c r="D537" s="58"/>
      <c r="E537" s="58"/>
      <c r="F537" s="51"/>
      <c r="G537" s="51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</row>
    <row r="538" spans="1:51" x14ac:dyDescent="0.25">
      <c r="A538" s="28"/>
      <c r="B538" s="58"/>
      <c r="C538" s="28"/>
      <c r="D538" s="58"/>
      <c r="E538" s="58"/>
      <c r="F538" s="51"/>
      <c r="G538" s="51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</row>
    <row r="539" spans="1:51" x14ac:dyDescent="0.25">
      <c r="A539" s="28"/>
      <c r="B539" s="58"/>
      <c r="C539" s="28"/>
      <c r="D539" s="58"/>
      <c r="E539" s="58"/>
      <c r="F539" s="51"/>
      <c r="G539" s="51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</row>
    <row r="540" spans="1:51" x14ac:dyDescent="0.25">
      <c r="A540" s="28"/>
      <c r="B540" s="58"/>
      <c r="C540" s="28"/>
      <c r="D540" s="58"/>
      <c r="E540" s="58"/>
      <c r="F540" s="51"/>
      <c r="G540" s="51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</row>
    <row r="541" spans="1:51" x14ac:dyDescent="0.25">
      <c r="A541" s="28"/>
      <c r="B541" s="58"/>
      <c r="C541" s="28"/>
      <c r="D541" s="58"/>
      <c r="E541" s="58"/>
      <c r="F541" s="51"/>
      <c r="G541" s="51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</row>
    <row r="542" spans="1:51" x14ac:dyDescent="0.25">
      <c r="A542" s="28"/>
      <c r="B542" s="58"/>
      <c r="C542" s="28"/>
      <c r="D542" s="58"/>
      <c r="E542" s="58"/>
      <c r="F542" s="51"/>
      <c r="G542" s="51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</row>
    <row r="543" spans="1:51" x14ac:dyDescent="0.25">
      <c r="A543" s="28"/>
      <c r="B543" s="58"/>
      <c r="C543" s="28"/>
      <c r="D543" s="58"/>
      <c r="E543" s="58"/>
      <c r="F543" s="51"/>
      <c r="G543" s="51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</row>
    <row r="544" spans="1:51" x14ac:dyDescent="0.25">
      <c r="A544" s="28"/>
      <c r="B544" s="58"/>
      <c r="C544" s="28"/>
      <c r="D544" s="58"/>
      <c r="E544" s="58"/>
      <c r="F544" s="51"/>
      <c r="G544" s="51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</row>
    <row r="545" spans="1:51" x14ac:dyDescent="0.25">
      <c r="A545" s="28"/>
      <c r="B545" s="58"/>
      <c r="C545" s="28"/>
      <c r="D545" s="58"/>
      <c r="E545" s="58"/>
      <c r="F545" s="51"/>
      <c r="G545" s="51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</row>
    <row r="546" spans="1:51" x14ac:dyDescent="0.25">
      <c r="A546" s="28"/>
      <c r="B546" s="58"/>
      <c r="C546" s="28"/>
      <c r="D546" s="58"/>
      <c r="E546" s="58"/>
      <c r="F546" s="51"/>
      <c r="G546" s="51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</row>
    <row r="547" spans="1:51" x14ac:dyDescent="0.25">
      <c r="A547" s="28"/>
      <c r="B547" s="58"/>
      <c r="C547" s="28"/>
      <c r="D547" s="58"/>
      <c r="E547" s="58"/>
      <c r="F547" s="51"/>
      <c r="G547" s="51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</row>
    <row r="548" spans="1:51" x14ac:dyDescent="0.25">
      <c r="A548" s="28"/>
      <c r="B548" s="58"/>
      <c r="C548" s="28"/>
      <c r="D548" s="58"/>
      <c r="E548" s="58"/>
      <c r="F548" s="51"/>
      <c r="G548" s="51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</row>
    <row r="549" spans="1:51" x14ac:dyDescent="0.25">
      <c r="A549" s="28"/>
      <c r="B549" s="58"/>
      <c r="C549" s="28"/>
      <c r="D549" s="58"/>
      <c r="E549" s="58"/>
      <c r="F549" s="51"/>
      <c r="G549" s="51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</row>
    <row r="550" spans="1:51" x14ac:dyDescent="0.25">
      <c r="A550" s="28"/>
      <c r="B550" s="58"/>
      <c r="C550" s="28"/>
      <c r="D550" s="58"/>
      <c r="E550" s="58"/>
      <c r="F550" s="51"/>
      <c r="G550" s="51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</row>
    <row r="551" spans="1:51" x14ac:dyDescent="0.25">
      <c r="A551" s="28"/>
      <c r="B551" s="58"/>
      <c r="C551" s="28"/>
      <c r="D551" s="58"/>
      <c r="E551" s="58"/>
      <c r="F551" s="51"/>
      <c r="G551" s="51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</row>
    <row r="552" spans="1:51" x14ac:dyDescent="0.25">
      <c r="A552" s="28"/>
      <c r="B552" s="58"/>
      <c r="C552" s="28"/>
      <c r="D552" s="58"/>
      <c r="E552" s="58"/>
      <c r="F552" s="51"/>
      <c r="G552" s="51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</row>
    <row r="553" spans="1:51" x14ac:dyDescent="0.25">
      <c r="A553" s="28"/>
      <c r="B553" s="58"/>
      <c r="C553" s="28"/>
      <c r="D553" s="58"/>
      <c r="E553" s="58"/>
      <c r="F553" s="51"/>
      <c r="G553" s="51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</row>
    <row r="554" spans="1:51" x14ac:dyDescent="0.25">
      <c r="A554" s="28"/>
      <c r="B554" s="58"/>
      <c r="C554" s="28"/>
      <c r="D554" s="58"/>
      <c r="E554" s="58"/>
      <c r="F554" s="51"/>
      <c r="G554" s="51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</row>
    <row r="555" spans="1:51" x14ac:dyDescent="0.25">
      <c r="A555" s="28"/>
      <c r="B555" s="58"/>
      <c r="C555" s="28"/>
      <c r="D555" s="58"/>
      <c r="E555" s="58"/>
      <c r="F555" s="51"/>
      <c r="G555" s="51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</row>
    <row r="556" spans="1:51" x14ac:dyDescent="0.25">
      <c r="A556" s="28"/>
      <c r="B556" s="58"/>
      <c r="C556" s="28"/>
      <c r="D556" s="58"/>
      <c r="E556" s="58"/>
      <c r="F556" s="51"/>
      <c r="G556" s="51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</row>
    <row r="557" spans="1:51" x14ac:dyDescent="0.25">
      <c r="A557" s="28"/>
      <c r="B557" s="58"/>
      <c r="C557" s="28"/>
      <c r="D557" s="58"/>
      <c r="E557" s="58"/>
      <c r="F557" s="51"/>
      <c r="G557" s="51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</row>
    <row r="558" spans="1:51" x14ac:dyDescent="0.25">
      <c r="A558" s="28"/>
      <c r="B558" s="58"/>
      <c r="C558" s="28"/>
      <c r="D558" s="58"/>
      <c r="E558" s="58"/>
      <c r="F558" s="51"/>
      <c r="G558" s="51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</row>
    <row r="559" spans="1:51" x14ac:dyDescent="0.25">
      <c r="A559" s="28"/>
      <c r="B559" s="58"/>
      <c r="C559" s="28"/>
      <c r="D559" s="58"/>
      <c r="E559" s="58"/>
      <c r="F559" s="51"/>
      <c r="G559" s="51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</row>
    <row r="560" spans="1:51" x14ac:dyDescent="0.25">
      <c r="A560" s="28"/>
      <c r="B560" s="58"/>
      <c r="C560" s="28"/>
      <c r="D560" s="58"/>
      <c r="E560" s="58"/>
      <c r="F560" s="51"/>
      <c r="G560" s="51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</row>
    <row r="561" spans="1:51" x14ac:dyDescent="0.25">
      <c r="A561" s="28"/>
      <c r="B561" s="58"/>
      <c r="C561" s="28"/>
      <c r="D561" s="58"/>
      <c r="E561" s="58"/>
      <c r="F561" s="51"/>
      <c r="G561" s="51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</row>
    <row r="562" spans="1:51" x14ac:dyDescent="0.25">
      <c r="A562" s="28"/>
      <c r="B562" s="58"/>
      <c r="C562" s="28"/>
      <c r="D562" s="58"/>
      <c r="E562" s="58"/>
      <c r="F562" s="51"/>
      <c r="G562" s="51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</row>
    <row r="563" spans="1:51" x14ac:dyDescent="0.25">
      <c r="A563" s="28"/>
      <c r="B563" s="58"/>
      <c r="C563" s="28"/>
      <c r="D563" s="58"/>
      <c r="E563" s="58"/>
      <c r="F563" s="51"/>
      <c r="G563" s="51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</row>
    <row r="564" spans="1:51" x14ac:dyDescent="0.25">
      <c r="A564" s="28"/>
      <c r="B564" s="58"/>
      <c r="C564" s="28"/>
      <c r="D564" s="58"/>
      <c r="E564" s="58"/>
      <c r="F564" s="51"/>
      <c r="G564" s="51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</row>
    <row r="565" spans="1:51" x14ac:dyDescent="0.25">
      <c r="A565" s="28"/>
      <c r="B565" s="58"/>
      <c r="C565" s="28"/>
      <c r="D565" s="58"/>
      <c r="E565" s="58"/>
      <c r="F565" s="51"/>
      <c r="G565" s="51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</row>
    <row r="566" spans="1:51" x14ac:dyDescent="0.25">
      <c r="A566" s="28"/>
      <c r="B566" s="58"/>
      <c r="C566" s="28"/>
      <c r="D566" s="58"/>
      <c r="E566" s="58"/>
      <c r="F566" s="51"/>
      <c r="G566" s="51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</row>
    <row r="567" spans="1:51" x14ac:dyDescent="0.25">
      <c r="A567" s="28"/>
      <c r="B567" s="58"/>
      <c r="C567" s="28"/>
      <c r="D567" s="58"/>
      <c r="E567" s="58"/>
      <c r="F567" s="51"/>
      <c r="G567" s="51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</row>
    <row r="568" spans="1:51" x14ac:dyDescent="0.25">
      <c r="A568" s="28"/>
      <c r="B568" s="58"/>
      <c r="C568" s="28"/>
      <c r="D568" s="58"/>
      <c r="E568" s="58"/>
      <c r="F568" s="51"/>
      <c r="G568" s="51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</row>
    <row r="569" spans="1:51" x14ac:dyDescent="0.25">
      <c r="A569" s="28"/>
      <c r="B569" s="58"/>
      <c r="C569" s="28"/>
      <c r="D569" s="58"/>
      <c r="E569" s="58"/>
      <c r="F569" s="51"/>
      <c r="G569" s="51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</row>
    <row r="570" spans="1:51" x14ac:dyDescent="0.25">
      <c r="A570" s="28"/>
      <c r="B570" s="58"/>
      <c r="C570" s="28"/>
      <c r="D570" s="58"/>
      <c r="E570" s="58"/>
      <c r="F570" s="51"/>
      <c r="G570" s="51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</row>
    <row r="571" spans="1:51" x14ac:dyDescent="0.25">
      <c r="A571" s="28"/>
      <c r="B571" s="58"/>
      <c r="C571" s="28"/>
      <c r="D571" s="58"/>
      <c r="E571" s="58"/>
      <c r="F571" s="51"/>
      <c r="G571" s="51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</row>
    <row r="572" spans="1:51" x14ac:dyDescent="0.25">
      <c r="A572" s="28"/>
      <c r="B572" s="58"/>
      <c r="C572" s="28"/>
      <c r="D572" s="58"/>
      <c r="E572" s="58"/>
      <c r="F572" s="51"/>
      <c r="G572" s="51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</row>
    <row r="573" spans="1:51" x14ac:dyDescent="0.25">
      <c r="A573" s="28"/>
      <c r="B573" s="58"/>
      <c r="C573" s="28"/>
      <c r="D573" s="58"/>
      <c r="E573" s="58"/>
      <c r="F573" s="51"/>
      <c r="G573" s="51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</row>
  </sheetData>
  <autoFilter ref="A10:P96"/>
  <mergeCells count="2">
    <mergeCell ref="H5:O5"/>
    <mergeCell ref="H6:O6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I63:J63 H58:J58 L70:L71 H81:J81 H13:I13 H21:I21 H53:H54 H77:J77 H75 H29:I29 H34:J34 H90:J90 I54:J54 H89:J89 J71 M71:N71 H30:J30 H33:J33 L62 H19:J19 H17:J17 H84:J84 L69 M58:N58 I51:J51 J21 N90 L76 M81:N81 H18:J18 L18:N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H118"/>
  <sheetViews>
    <sheetView tabSelected="1" workbookViewId="0">
      <selection activeCell="E125" sqref="E125"/>
    </sheetView>
  </sheetViews>
  <sheetFormatPr baseColWidth="10" defaultRowHeight="15" x14ac:dyDescent="0.25"/>
  <cols>
    <col min="1" max="1" width="8.5703125" customWidth="1"/>
    <col min="3" max="3" width="43" customWidth="1"/>
    <col min="5" max="5" width="15.7109375" customWidth="1"/>
    <col min="9" max="9" width="16.7109375" customWidth="1"/>
    <col min="10" max="164" width="11.42578125" style="28"/>
  </cols>
  <sheetData>
    <row r="6" spans="1:164" ht="14.25" customHeight="1" x14ac:dyDescent="0.25"/>
    <row r="7" spans="1:164" x14ac:dyDescent="0.25">
      <c r="C7" s="5" t="s">
        <v>240</v>
      </c>
    </row>
    <row r="11" spans="1:164" ht="15.75" thickBot="1" x14ac:dyDescent="0.3"/>
    <row r="12" spans="1:164" x14ac:dyDescent="0.25">
      <c r="A12" s="107"/>
      <c r="B12" s="110" t="s">
        <v>91</v>
      </c>
      <c r="C12" s="110" t="s">
        <v>92</v>
      </c>
      <c r="D12" s="110" t="s">
        <v>4</v>
      </c>
      <c r="E12" s="110" t="s">
        <v>124</v>
      </c>
      <c r="F12" s="101" t="s">
        <v>93</v>
      </c>
      <c r="G12" s="101" t="s">
        <v>94</v>
      </c>
      <c r="H12" s="101" t="s">
        <v>95</v>
      </c>
      <c r="I12" s="104" t="s">
        <v>96</v>
      </c>
    </row>
    <row r="13" spans="1:164" x14ac:dyDescent="0.25">
      <c r="A13" s="108"/>
      <c r="B13" s="111"/>
      <c r="C13" s="111"/>
      <c r="D13" s="111"/>
      <c r="E13" s="111"/>
      <c r="F13" s="102"/>
      <c r="G13" s="102"/>
      <c r="H13" s="102"/>
      <c r="I13" s="105"/>
    </row>
    <row r="14" spans="1:164" ht="15.75" thickBot="1" x14ac:dyDescent="0.3">
      <c r="A14" s="109"/>
      <c r="B14" s="112"/>
      <c r="C14" s="112"/>
      <c r="D14" s="112"/>
      <c r="E14" s="112"/>
      <c r="F14" s="103"/>
      <c r="G14" s="103"/>
      <c r="H14" s="103"/>
      <c r="I14" s="106"/>
    </row>
    <row r="15" spans="1:164" ht="15.75" thickBot="1" x14ac:dyDescent="0.3">
      <c r="A15" s="23"/>
      <c r="B15" s="24"/>
      <c r="C15" s="24"/>
      <c r="D15" s="24"/>
      <c r="E15" s="24"/>
      <c r="F15" s="25"/>
      <c r="G15" s="25"/>
      <c r="H15" s="24"/>
      <c r="I15" s="24"/>
    </row>
    <row r="16" spans="1:164" s="71" customFormat="1" x14ac:dyDescent="0.25">
      <c r="A16" s="66">
        <v>1</v>
      </c>
      <c r="B16" s="67" t="s">
        <v>97</v>
      </c>
      <c r="C16" s="68" t="s">
        <v>12</v>
      </c>
      <c r="D16" s="69">
        <f>42499*2</f>
        <v>84998</v>
      </c>
      <c r="E16" s="70">
        <f>D16*0.175</f>
        <v>14874.65</v>
      </c>
      <c r="F16" s="70">
        <f t="shared" ref="F16:F79" si="0">D16*0.03</f>
        <v>2549.94</v>
      </c>
      <c r="G16" s="70">
        <f t="shared" ref="G16:G79" si="1">D16*0.02</f>
        <v>1699.96</v>
      </c>
      <c r="H16" s="69">
        <f>1601*2</f>
        <v>3202</v>
      </c>
      <c r="I16" s="69">
        <f>1119*2</f>
        <v>2238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</row>
    <row r="17" spans="1:164" s="28" customFormat="1" x14ac:dyDescent="0.25">
      <c r="A17" s="38">
        <v>2</v>
      </c>
      <c r="B17" s="7" t="s">
        <v>97</v>
      </c>
      <c r="C17" s="34" t="s">
        <v>28</v>
      </c>
      <c r="D17" s="4">
        <f>12864.5*2</f>
        <v>25729</v>
      </c>
      <c r="E17" s="6">
        <f t="shared" ref="E17:E80" si="2">D17*0.175</f>
        <v>4502.5749999999998</v>
      </c>
      <c r="F17" s="6">
        <f t="shared" si="0"/>
        <v>771.87</v>
      </c>
      <c r="G17" s="6">
        <f t="shared" si="1"/>
        <v>514.58000000000004</v>
      </c>
      <c r="H17" s="4">
        <f>643*2</f>
        <v>1286</v>
      </c>
      <c r="I17" s="4">
        <f>528.5*2</f>
        <v>1057</v>
      </c>
    </row>
    <row r="18" spans="1:164" s="71" customFormat="1" x14ac:dyDescent="0.25">
      <c r="A18" s="72">
        <v>3</v>
      </c>
      <c r="B18" s="73" t="s">
        <v>97</v>
      </c>
      <c r="C18" s="68" t="s">
        <v>15</v>
      </c>
      <c r="D18" s="69">
        <f>11416*2</f>
        <v>22832</v>
      </c>
      <c r="E18" s="74">
        <f t="shared" si="2"/>
        <v>3995.6</v>
      </c>
      <c r="F18" s="74">
        <f t="shared" si="0"/>
        <v>684.95999999999992</v>
      </c>
      <c r="G18" s="74">
        <f t="shared" si="1"/>
        <v>456.64</v>
      </c>
      <c r="H18" s="69">
        <f>623.5*2</f>
        <v>1247</v>
      </c>
      <c r="I18" s="69">
        <f>499.5*2</f>
        <v>999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</row>
    <row r="19" spans="1:164" s="28" customFormat="1" x14ac:dyDescent="0.25">
      <c r="A19" s="38">
        <v>4</v>
      </c>
      <c r="B19" s="7" t="s">
        <v>97</v>
      </c>
      <c r="C19" s="34" t="s">
        <v>20</v>
      </c>
      <c r="D19" s="4">
        <f>7366.5*2</f>
        <v>14733</v>
      </c>
      <c r="E19" s="6">
        <f t="shared" si="2"/>
        <v>2578.2749999999996</v>
      </c>
      <c r="F19" s="6">
        <f t="shared" si="0"/>
        <v>441.99</v>
      </c>
      <c r="G19" s="6">
        <f t="shared" si="1"/>
        <v>294.66000000000003</v>
      </c>
      <c r="H19" s="4">
        <f>546.5*2</f>
        <v>1093</v>
      </c>
      <c r="I19" s="4">
        <f>449.5*2</f>
        <v>899</v>
      </c>
    </row>
    <row r="20" spans="1:164" s="71" customFormat="1" x14ac:dyDescent="0.25">
      <c r="A20" s="72">
        <v>5</v>
      </c>
      <c r="B20" s="73" t="s">
        <v>97</v>
      </c>
      <c r="C20" s="68" t="s">
        <v>20</v>
      </c>
      <c r="D20" s="69">
        <f>7366.5*2</f>
        <v>14733</v>
      </c>
      <c r="E20" s="74">
        <f t="shared" si="2"/>
        <v>2578.2749999999996</v>
      </c>
      <c r="F20" s="74">
        <f t="shared" si="0"/>
        <v>441.99</v>
      </c>
      <c r="G20" s="74">
        <f t="shared" si="1"/>
        <v>294.66000000000003</v>
      </c>
      <c r="H20" s="69">
        <f>546.5*2</f>
        <v>1093</v>
      </c>
      <c r="I20" s="69">
        <f>449.5*2</f>
        <v>899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</row>
    <row r="21" spans="1:164" s="28" customFormat="1" x14ac:dyDescent="0.25">
      <c r="A21" s="38">
        <v>6</v>
      </c>
      <c r="B21" s="7" t="s">
        <v>97</v>
      </c>
      <c r="C21" s="34" t="s">
        <v>23</v>
      </c>
      <c r="D21" s="4">
        <f>7366.5*2</f>
        <v>14733</v>
      </c>
      <c r="E21" s="6">
        <f t="shared" si="2"/>
        <v>2578.2749999999996</v>
      </c>
      <c r="F21" s="6">
        <f t="shared" si="0"/>
        <v>441.99</v>
      </c>
      <c r="G21" s="6">
        <f t="shared" si="1"/>
        <v>294.66000000000003</v>
      </c>
      <c r="H21" s="4">
        <f>546.5*2</f>
        <v>1093</v>
      </c>
      <c r="I21" s="4">
        <f>449.5*2</f>
        <v>899</v>
      </c>
    </row>
    <row r="22" spans="1:164" s="71" customFormat="1" x14ac:dyDescent="0.25">
      <c r="A22" s="72">
        <v>7</v>
      </c>
      <c r="B22" s="73" t="s">
        <v>97</v>
      </c>
      <c r="C22" s="68" t="s">
        <v>25</v>
      </c>
      <c r="D22" s="69">
        <f>12864.5*2</f>
        <v>25729</v>
      </c>
      <c r="E22" s="74">
        <f t="shared" si="2"/>
        <v>4502.5749999999998</v>
      </c>
      <c r="F22" s="74">
        <f t="shared" si="0"/>
        <v>771.87</v>
      </c>
      <c r="G22" s="74">
        <f t="shared" si="1"/>
        <v>514.58000000000004</v>
      </c>
      <c r="H22" s="69">
        <f>643*2</f>
        <v>1286</v>
      </c>
      <c r="I22" s="69">
        <f>528.5*2</f>
        <v>1057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</row>
    <row r="23" spans="1:164" s="28" customFormat="1" x14ac:dyDescent="0.25">
      <c r="A23" s="38">
        <v>8</v>
      </c>
      <c r="B23" s="7" t="s">
        <v>97</v>
      </c>
      <c r="C23" s="34" t="s">
        <v>20</v>
      </c>
      <c r="D23" s="4">
        <f>7366.5*2</f>
        <v>14733</v>
      </c>
      <c r="E23" s="6">
        <f t="shared" si="2"/>
        <v>2578.2749999999996</v>
      </c>
      <c r="F23" s="6">
        <f t="shared" si="0"/>
        <v>441.99</v>
      </c>
      <c r="G23" s="6">
        <f t="shared" si="1"/>
        <v>294.66000000000003</v>
      </c>
      <c r="H23" s="4">
        <f>546.5*2</f>
        <v>1093</v>
      </c>
      <c r="I23" s="4">
        <f>449.5*2</f>
        <v>899</v>
      </c>
    </row>
    <row r="24" spans="1:164" s="71" customFormat="1" x14ac:dyDescent="0.25">
      <c r="A24" s="72">
        <v>9</v>
      </c>
      <c r="B24" s="73" t="s">
        <v>97</v>
      </c>
      <c r="C24" s="68" t="s">
        <v>28</v>
      </c>
      <c r="D24" s="69">
        <f>12864.5*2</f>
        <v>25729</v>
      </c>
      <c r="E24" s="74">
        <f t="shared" si="2"/>
        <v>4502.5749999999998</v>
      </c>
      <c r="F24" s="74">
        <f t="shared" si="0"/>
        <v>771.87</v>
      </c>
      <c r="G24" s="74">
        <f t="shared" si="1"/>
        <v>514.58000000000004</v>
      </c>
      <c r="H24" s="69">
        <f>643*2</f>
        <v>1286</v>
      </c>
      <c r="I24" s="69">
        <f>528.5*2</f>
        <v>1057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</row>
    <row r="25" spans="1:164" s="28" customFormat="1" x14ac:dyDescent="0.25">
      <c r="A25" s="38">
        <v>10</v>
      </c>
      <c r="B25" s="7" t="s">
        <v>97</v>
      </c>
      <c r="C25" s="34" t="s">
        <v>119</v>
      </c>
      <c r="D25" s="4">
        <f>7366.5*2</f>
        <v>14733</v>
      </c>
      <c r="E25" s="6">
        <f t="shared" si="2"/>
        <v>2578.2749999999996</v>
      </c>
      <c r="F25" s="6">
        <f t="shared" si="0"/>
        <v>441.99</v>
      </c>
      <c r="G25" s="6">
        <f t="shared" si="1"/>
        <v>294.66000000000003</v>
      </c>
      <c r="H25" s="4">
        <f>546.5*2</f>
        <v>1093</v>
      </c>
      <c r="I25" s="32">
        <f>449.5*2</f>
        <v>899</v>
      </c>
    </row>
    <row r="26" spans="1:164" s="71" customFormat="1" x14ac:dyDescent="0.25">
      <c r="A26" s="72">
        <v>11</v>
      </c>
      <c r="B26" s="75" t="s">
        <v>97</v>
      </c>
      <c r="C26" s="68" t="s">
        <v>30</v>
      </c>
      <c r="D26" s="69">
        <f>6843.5*2</f>
        <v>13687</v>
      </c>
      <c r="E26" s="76">
        <f t="shared" si="2"/>
        <v>2395.2249999999999</v>
      </c>
      <c r="F26" s="76">
        <f t="shared" si="0"/>
        <v>410.60999999999996</v>
      </c>
      <c r="G26" s="76">
        <f t="shared" si="1"/>
        <v>273.74</v>
      </c>
      <c r="H26" s="69">
        <f>478.5*2</f>
        <v>957</v>
      </c>
      <c r="I26" s="69">
        <f>440.5*2</f>
        <v>881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</row>
    <row r="27" spans="1:164" s="28" customFormat="1" x14ac:dyDescent="0.25">
      <c r="A27" s="38">
        <v>12</v>
      </c>
      <c r="B27" s="7" t="s">
        <v>97</v>
      </c>
      <c r="C27" s="34" t="s">
        <v>23</v>
      </c>
      <c r="D27" s="4">
        <f t="shared" ref="D27:D32" si="3">7366.5*2</f>
        <v>14733</v>
      </c>
      <c r="E27" s="6">
        <f t="shared" si="2"/>
        <v>2578.2749999999996</v>
      </c>
      <c r="F27" s="6">
        <f t="shared" si="0"/>
        <v>441.99</v>
      </c>
      <c r="G27" s="6">
        <f t="shared" si="1"/>
        <v>294.66000000000003</v>
      </c>
      <c r="H27" s="4">
        <f t="shared" ref="H27:H32" si="4">546.5*2</f>
        <v>1093</v>
      </c>
      <c r="I27" s="4">
        <f t="shared" ref="I27:I32" si="5">449.5*2</f>
        <v>899</v>
      </c>
    </row>
    <row r="28" spans="1:164" s="71" customFormat="1" x14ac:dyDescent="0.25">
      <c r="A28" s="72">
        <v>13</v>
      </c>
      <c r="B28" s="73" t="s">
        <v>97</v>
      </c>
      <c r="C28" s="68" t="s">
        <v>17</v>
      </c>
      <c r="D28" s="69">
        <f t="shared" si="3"/>
        <v>14733</v>
      </c>
      <c r="E28" s="74">
        <f t="shared" si="2"/>
        <v>2578.2749999999996</v>
      </c>
      <c r="F28" s="74">
        <f t="shared" si="0"/>
        <v>441.99</v>
      </c>
      <c r="G28" s="74">
        <f t="shared" si="1"/>
        <v>294.66000000000003</v>
      </c>
      <c r="H28" s="69">
        <f t="shared" si="4"/>
        <v>1093</v>
      </c>
      <c r="I28" s="69">
        <f t="shared" si="5"/>
        <v>899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</row>
    <row r="29" spans="1:164" s="28" customFormat="1" x14ac:dyDescent="0.25">
      <c r="A29" s="38">
        <v>14</v>
      </c>
      <c r="B29" s="7" t="s">
        <v>97</v>
      </c>
      <c r="C29" s="34" t="s">
        <v>20</v>
      </c>
      <c r="D29" s="4">
        <f t="shared" si="3"/>
        <v>14733</v>
      </c>
      <c r="E29" s="6">
        <f t="shared" si="2"/>
        <v>2578.2749999999996</v>
      </c>
      <c r="F29" s="6">
        <f t="shared" si="0"/>
        <v>441.99</v>
      </c>
      <c r="G29" s="6">
        <f t="shared" si="1"/>
        <v>294.66000000000003</v>
      </c>
      <c r="H29" s="4">
        <f t="shared" si="4"/>
        <v>1093</v>
      </c>
      <c r="I29" s="4">
        <f t="shared" si="5"/>
        <v>899</v>
      </c>
    </row>
    <row r="30" spans="1:164" s="71" customFormat="1" x14ac:dyDescent="0.25">
      <c r="A30" s="72">
        <v>15</v>
      </c>
      <c r="B30" s="73" t="s">
        <v>97</v>
      </c>
      <c r="C30" s="68" t="s">
        <v>23</v>
      </c>
      <c r="D30" s="69">
        <f t="shared" si="3"/>
        <v>14733</v>
      </c>
      <c r="E30" s="74">
        <f t="shared" si="2"/>
        <v>2578.2749999999996</v>
      </c>
      <c r="F30" s="74">
        <f t="shared" si="0"/>
        <v>441.99</v>
      </c>
      <c r="G30" s="74">
        <f t="shared" si="1"/>
        <v>294.66000000000003</v>
      </c>
      <c r="H30" s="69">
        <f t="shared" si="4"/>
        <v>1093</v>
      </c>
      <c r="I30" s="69">
        <f t="shared" si="5"/>
        <v>899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</row>
    <row r="31" spans="1:164" s="28" customFormat="1" x14ac:dyDescent="0.25">
      <c r="A31" s="38">
        <v>16</v>
      </c>
      <c r="B31" s="7" t="s">
        <v>97</v>
      </c>
      <c r="C31" s="34" t="s">
        <v>119</v>
      </c>
      <c r="D31" s="4">
        <f t="shared" si="3"/>
        <v>14733</v>
      </c>
      <c r="E31" s="6">
        <f t="shared" si="2"/>
        <v>2578.2749999999996</v>
      </c>
      <c r="F31" s="6">
        <f t="shared" si="0"/>
        <v>441.99</v>
      </c>
      <c r="G31" s="6">
        <f t="shared" si="1"/>
        <v>294.66000000000003</v>
      </c>
      <c r="H31" s="4">
        <f t="shared" si="4"/>
        <v>1093</v>
      </c>
      <c r="I31" s="4">
        <f t="shared" si="5"/>
        <v>899</v>
      </c>
    </row>
    <row r="32" spans="1:164" s="71" customFormat="1" x14ac:dyDescent="0.25">
      <c r="A32" s="72">
        <v>17</v>
      </c>
      <c r="B32" s="73" t="s">
        <v>97</v>
      </c>
      <c r="C32" s="68" t="s">
        <v>20</v>
      </c>
      <c r="D32" s="69">
        <f t="shared" si="3"/>
        <v>14733</v>
      </c>
      <c r="E32" s="74">
        <f t="shared" si="2"/>
        <v>2578.2749999999996</v>
      </c>
      <c r="F32" s="74">
        <f t="shared" si="0"/>
        <v>441.99</v>
      </c>
      <c r="G32" s="74">
        <f t="shared" si="1"/>
        <v>294.66000000000003</v>
      </c>
      <c r="H32" s="69">
        <f t="shared" si="4"/>
        <v>1093</v>
      </c>
      <c r="I32" s="69">
        <f t="shared" si="5"/>
        <v>899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</row>
    <row r="33" spans="1:164" s="28" customFormat="1" x14ac:dyDescent="0.25">
      <c r="A33" s="38">
        <v>18</v>
      </c>
      <c r="B33" s="7" t="s">
        <v>97</v>
      </c>
      <c r="C33" s="34" t="s">
        <v>15</v>
      </c>
      <c r="D33" s="4">
        <f>11416*2</f>
        <v>22832</v>
      </c>
      <c r="E33" s="6">
        <f t="shared" si="2"/>
        <v>3995.6</v>
      </c>
      <c r="F33" s="6">
        <f t="shared" si="0"/>
        <v>684.95999999999992</v>
      </c>
      <c r="G33" s="6">
        <f t="shared" si="1"/>
        <v>456.64</v>
      </c>
      <c r="H33" s="4">
        <f>623.5*2</f>
        <v>1247</v>
      </c>
      <c r="I33" s="4">
        <f>499.5*2</f>
        <v>999</v>
      </c>
    </row>
    <row r="34" spans="1:164" s="71" customFormat="1" x14ac:dyDescent="0.25">
      <c r="A34" s="72">
        <v>19</v>
      </c>
      <c r="B34" s="73" t="s">
        <v>97</v>
      </c>
      <c r="C34" s="68" t="s">
        <v>28</v>
      </c>
      <c r="D34" s="69">
        <f>12864.5*2</f>
        <v>25729</v>
      </c>
      <c r="E34" s="74">
        <f t="shared" si="2"/>
        <v>4502.5749999999998</v>
      </c>
      <c r="F34" s="78">
        <f t="shared" si="0"/>
        <v>771.87</v>
      </c>
      <c r="G34" s="74">
        <f t="shared" si="1"/>
        <v>514.58000000000004</v>
      </c>
      <c r="H34" s="69">
        <f>643*2</f>
        <v>1286</v>
      </c>
      <c r="I34" s="69">
        <f>528.5*2</f>
        <v>1057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</row>
    <row r="35" spans="1:164" s="28" customFormat="1" x14ac:dyDescent="0.25">
      <c r="A35" s="38">
        <v>20</v>
      </c>
      <c r="B35" s="7" t="s">
        <v>97</v>
      </c>
      <c r="C35" s="34" t="s">
        <v>114</v>
      </c>
      <c r="D35" s="4">
        <f>7366.5*2</f>
        <v>14733</v>
      </c>
      <c r="E35" s="6">
        <f t="shared" si="2"/>
        <v>2578.2749999999996</v>
      </c>
      <c r="F35" s="6">
        <f t="shared" si="0"/>
        <v>441.99</v>
      </c>
      <c r="G35" s="6">
        <f t="shared" si="1"/>
        <v>294.66000000000003</v>
      </c>
      <c r="H35" s="4">
        <f>546.5*2</f>
        <v>1093</v>
      </c>
      <c r="I35" s="4">
        <f>449.5*2</f>
        <v>899</v>
      </c>
    </row>
    <row r="36" spans="1:164" s="71" customFormat="1" x14ac:dyDescent="0.25">
      <c r="A36" s="72">
        <v>21</v>
      </c>
      <c r="B36" s="73" t="s">
        <v>97</v>
      </c>
      <c r="C36" s="68" t="s">
        <v>28</v>
      </c>
      <c r="D36" s="69">
        <f>12864.5*2</f>
        <v>25729</v>
      </c>
      <c r="E36" s="74">
        <f t="shared" si="2"/>
        <v>4502.5749999999998</v>
      </c>
      <c r="F36" s="74">
        <f t="shared" si="0"/>
        <v>771.87</v>
      </c>
      <c r="G36" s="74">
        <f t="shared" si="1"/>
        <v>514.58000000000004</v>
      </c>
      <c r="H36" s="69">
        <f>643*2</f>
        <v>1286</v>
      </c>
      <c r="I36" s="69">
        <f>528.5*2</f>
        <v>1057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</row>
    <row r="37" spans="1:164" s="28" customFormat="1" x14ac:dyDescent="0.25">
      <c r="A37" s="38">
        <v>22</v>
      </c>
      <c r="B37" s="7" t="s">
        <v>97</v>
      </c>
      <c r="C37" s="34" t="s">
        <v>28</v>
      </c>
      <c r="D37" s="4">
        <f>12864.5*2</f>
        <v>25729</v>
      </c>
      <c r="E37" s="6">
        <f t="shared" si="2"/>
        <v>4502.5749999999998</v>
      </c>
      <c r="F37" s="6">
        <f t="shared" si="0"/>
        <v>771.87</v>
      </c>
      <c r="G37" s="6">
        <f t="shared" si="1"/>
        <v>514.58000000000004</v>
      </c>
      <c r="H37" s="4">
        <f>643*2</f>
        <v>1286</v>
      </c>
      <c r="I37" s="4">
        <f>528.5*2</f>
        <v>1057</v>
      </c>
    </row>
    <row r="38" spans="1:164" s="71" customFormat="1" x14ac:dyDescent="0.25">
      <c r="A38" s="72">
        <v>23</v>
      </c>
      <c r="B38" s="73" t="s">
        <v>97</v>
      </c>
      <c r="C38" s="68" t="s">
        <v>20</v>
      </c>
      <c r="D38" s="69">
        <f>7366.5*2</f>
        <v>14733</v>
      </c>
      <c r="E38" s="74">
        <f t="shared" si="2"/>
        <v>2578.2749999999996</v>
      </c>
      <c r="F38" s="74">
        <f t="shared" si="0"/>
        <v>441.99</v>
      </c>
      <c r="G38" s="74">
        <f t="shared" si="1"/>
        <v>294.66000000000003</v>
      </c>
      <c r="H38" s="69">
        <f>546.5*2</f>
        <v>1093</v>
      </c>
      <c r="I38" s="69">
        <f>449.5*2</f>
        <v>899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</row>
    <row r="39" spans="1:164" s="28" customFormat="1" x14ac:dyDescent="0.25">
      <c r="A39" s="38">
        <v>24</v>
      </c>
      <c r="B39" s="7" t="s">
        <v>97</v>
      </c>
      <c r="C39" s="34" t="s">
        <v>28</v>
      </c>
      <c r="D39" s="4">
        <f>12864.5*2</f>
        <v>25729</v>
      </c>
      <c r="E39" s="6">
        <f t="shared" si="2"/>
        <v>4502.5749999999998</v>
      </c>
      <c r="F39" s="6">
        <f t="shared" si="0"/>
        <v>771.87</v>
      </c>
      <c r="G39" s="6">
        <f t="shared" si="1"/>
        <v>514.58000000000004</v>
      </c>
      <c r="H39" s="4">
        <f>643*2</f>
        <v>1286</v>
      </c>
      <c r="I39" s="4">
        <f>528.5*2</f>
        <v>1057</v>
      </c>
    </row>
    <row r="40" spans="1:164" s="71" customFormat="1" x14ac:dyDescent="0.25">
      <c r="A40" s="72">
        <v>25</v>
      </c>
      <c r="B40" s="73" t="s">
        <v>97</v>
      </c>
      <c r="C40" s="68" t="s">
        <v>20</v>
      </c>
      <c r="D40" s="69">
        <f>7366.5*2</f>
        <v>14733</v>
      </c>
      <c r="E40" s="74">
        <f t="shared" si="2"/>
        <v>2578.2749999999996</v>
      </c>
      <c r="F40" s="74">
        <f t="shared" si="0"/>
        <v>441.99</v>
      </c>
      <c r="G40" s="74">
        <f t="shared" si="1"/>
        <v>294.66000000000003</v>
      </c>
      <c r="H40" s="69">
        <f>546.5*2</f>
        <v>1093</v>
      </c>
      <c r="I40" s="69">
        <f>449.5*2</f>
        <v>899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</row>
    <row r="41" spans="1:164" s="28" customFormat="1" x14ac:dyDescent="0.25">
      <c r="A41" s="38">
        <v>26</v>
      </c>
      <c r="B41" s="7" t="s">
        <v>97</v>
      </c>
      <c r="C41" s="34" t="s">
        <v>15</v>
      </c>
      <c r="D41" s="4">
        <f>11416*2</f>
        <v>22832</v>
      </c>
      <c r="E41" s="6">
        <f t="shared" si="2"/>
        <v>3995.6</v>
      </c>
      <c r="F41" s="6">
        <f t="shared" si="0"/>
        <v>684.95999999999992</v>
      </c>
      <c r="G41" s="6">
        <f t="shared" si="1"/>
        <v>456.64</v>
      </c>
      <c r="H41" s="4">
        <f>623.5*2</f>
        <v>1247</v>
      </c>
      <c r="I41" s="4">
        <f>499.5*2</f>
        <v>999</v>
      </c>
    </row>
    <row r="42" spans="1:164" s="71" customFormat="1" x14ac:dyDescent="0.25">
      <c r="A42" s="72">
        <v>27</v>
      </c>
      <c r="B42" s="73" t="s">
        <v>97</v>
      </c>
      <c r="C42" s="68" t="s">
        <v>116</v>
      </c>
      <c r="D42" s="69">
        <f>6503*2</f>
        <v>13006</v>
      </c>
      <c r="E42" s="74">
        <f t="shared" si="2"/>
        <v>2276.0499999999997</v>
      </c>
      <c r="F42" s="74">
        <f t="shared" si="0"/>
        <v>390.18</v>
      </c>
      <c r="G42" s="74">
        <f t="shared" si="1"/>
        <v>260.12</v>
      </c>
      <c r="H42" s="77">
        <f>470.5*2</f>
        <v>941</v>
      </c>
      <c r="I42" s="77">
        <f>432.5*2</f>
        <v>865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</row>
    <row r="43" spans="1:164" s="28" customFormat="1" x14ac:dyDescent="0.25">
      <c r="A43" s="38">
        <v>28</v>
      </c>
      <c r="B43" s="7" t="s">
        <v>97</v>
      </c>
      <c r="C43" s="34" t="s">
        <v>17</v>
      </c>
      <c r="D43" s="4">
        <f>7366.5*2</f>
        <v>14733</v>
      </c>
      <c r="E43" s="6">
        <f t="shared" si="2"/>
        <v>2578.2749999999996</v>
      </c>
      <c r="F43" s="6">
        <f t="shared" si="0"/>
        <v>441.99</v>
      </c>
      <c r="G43" s="6">
        <f t="shared" si="1"/>
        <v>294.66000000000003</v>
      </c>
      <c r="H43" s="4">
        <f>546.5*2</f>
        <v>1093</v>
      </c>
      <c r="I43" s="4">
        <f>449.5*2</f>
        <v>899</v>
      </c>
    </row>
    <row r="44" spans="1:164" s="71" customFormat="1" x14ac:dyDescent="0.25">
      <c r="A44" s="72">
        <v>29</v>
      </c>
      <c r="B44" s="73" t="s">
        <v>97</v>
      </c>
      <c r="C44" s="79" t="s">
        <v>15</v>
      </c>
      <c r="D44" s="80">
        <f>11416*2</f>
        <v>22832</v>
      </c>
      <c r="E44" s="74">
        <f t="shared" si="2"/>
        <v>3995.6</v>
      </c>
      <c r="F44" s="74">
        <f t="shared" si="0"/>
        <v>684.95999999999992</v>
      </c>
      <c r="G44" s="74">
        <f t="shared" si="1"/>
        <v>456.64</v>
      </c>
      <c r="H44" s="80">
        <f>623.5*2</f>
        <v>1247</v>
      </c>
      <c r="I44" s="80">
        <f>499.5*2</f>
        <v>999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</row>
    <row r="45" spans="1:164" s="28" customFormat="1" x14ac:dyDescent="0.25">
      <c r="A45" s="38">
        <v>30</v>
      </c>
      <c r="B45" s="7" t="s">
        <v>97</v>
      </c>
      <c r="C45" s="37" t="s">
        <v>63</v>
      </c>
      <c r="D45" s="31">
        <f>6503*2</f>
        <v>13006</v>
      </c>
      <c r="E45" s="6">
        <f t="shared" si="2"/>
        <v>2276.0499999999997</v>
      </c>
      <c r="F45" s="6">
        <f t="shared" si="0"/>
        <v>390.18</v>
      </c>
      <c r="G45" s="6">
        <f t="shared" si="1"/>
        <v>260.12</v>
      </c>
      <c r="H45" s="31">
        <f>470.5*2</f>
        <v>941</v>
      </c>
      <c r="I45" s="31">
        <f>432.5*2</f>
        <v>865</v>
      </c>
    </row>
    <row r="46" spans="1:164" s="71" customFormat="1" x14ac:dyDescent="0.25">
      <c r="A46" s="72">
        <v>31</v>
      </c>
      <c r="B46" s="73" t="s">
        <v>97</v>
      </c>
      <c r="C46" s="68" t="s">
        <v>20</v>
      </c>
      <c r="D46" s="69">
        <f>7366.5*2</f>
        <v>14733</v>
      </c>
      <c r="E46" s="74">
        <f t="shared" si="2"/>
        <v>2578.2749999999996</v>
      </c>
      <c r="F46" s="74">
        <f t="shared" si="0"/>
        <v>441.99</v>
      </c>
      <c r="G46" s="74">
        <f t="shared" si="1"/>
        <v>294.66000000000003</v>
      </c>
      <c r="H46" s="69">
        <f>546.5*2</f>
        <v>1093</v>
      </c>
      <c r="I46" s="69">
        <f>449.5*2</f>
        <v>899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</row>
    <row r="47" spans="1:164" s="28" customFormat="1" x14ac:dyDescent="0.25">
      <c r="A47" s="38">
        <v>32</v>
      </c>
      <c r="B47" s="7" t="s">
        <v>97</v>
      </c>
      <c r="C47" s="34" t="s">
        <v>20</v>
      </c>
      <c r="D47" s="4">
        <f>7366.5*2</f>
        <v>14733</v>
      </c>
      <c r="E47" s="6">
        <f t="shared" si="2"/>
        <v>2578.2749999999996</v>
      </c>
      <c r="F47" s="6">
        <f t="shared" si="0"/>
        <v>441.99</v>
      </c>
      <c r="G47" s="6">
        <f t="shared" si="1"/>
        <v>294.66000000000003</v>
      </c>
      <c r="H47" s="4">
        <f>546.5*2</f>
        <v>1093</v>
      </c>
      <c r="I47" s="4">
        <f>449.5*2</f>
        <v>899</v>
      </c>
    </row>
    <row r="48" spans="1:164" s="71" customFormat="1" ht="15.75" customHeight="1" x14ac:dyDescent="0.25">
      <c r="A48" s="72">
        <v>33</v>
      </c>
      <c r="B48" s="73" t="s">
        <v>97</v>
      </c>
      <c r="C48" s="68" t="s">
        <v>120</v>
      </c>
      <c r="D48" s="69">
        <f>7366.5*2</f>
        <v>14733</v>
      </c>
      <c r="E48" s="74">
        <f t="shared" si="2"/>
        <v>2578.2749999999996</v>
      </c>
      <c r="F48" s="74">
        <f t="shared" si="0"/>
        <v>441.99</v>
      </c>
      <c r="G48" s="74">
        <f t="shared" si="1"/>
        <v>294.66000000000003</v>
      </c>
      <c r="H48" s="69">
        <f>546.5*2</f>
        <v>1093</v>
      </c>
      <c r="I48" s="69">
        <f>449.5*2</f>
        <v>899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</row>
    <row r="49" spans="1:164" s="28" customFormat="1" x14ac:dyDescent="0.25">
      <c r="A49" s="38">
        <v>34</v>
      </c>
      <c r="B49" s="7" t="s">
        <v>97</v>
      </c>
      <c r="C49" s="34" t="s">
        <v>20</v>
      </c>
      <c r="D49" s="4">
        <f>7366.5*2</f>
        <v>14733</v>
      </c>
      <c r="E49" s="6">
        <f t="shared" si="2"/>
        <v>2578.2749999999996</v>
      </c>
      <c r="F49" s="6">
        <f t="shared" si="0"/>
        <v>441.99</v>
      </c>
      <c r="G49" s="6">
        <f t="shared" si="1"/>
        <v>294.66000000000003</v>
      </c>
      <c r="H49" s="4">
        <f>546.5*2</f>
        <v>1093</v>
      </c>
      <c r="I49" s="4">
        <f>449.5*2</f>
        <v>899</v>
      </c>
    </row>
    <row r="50" spans="1:164" s="71" customFormat="1" x14ac:dyDescent="0.25">
      <c r="A50" s="72">
        <v>35</v>
      </c>
      <c r="B50" s="73" t="s">
        <v>97</v>
      </c>
      <c r="C50" s="68" t="s">
        <v>15</v>
      </c>
      <c r="D50" s="69">
        <f>11416*2</f>
        <v>22832</v>
      </c>
      <c r="E50" s="74">
        <f t="shared" si="2"/>
        <v>3995.6</v>
      </c>
      <c r="F50" s="74">
        <f t="shared" si="0"/>
        <v>684.95999999999992</v>
      </c>
      <c r="G50" s="74">
        <f t="shared" si="1"/>
        <v>456.64</v>
      </c>
      <c r="H50" s="69">
        <f>623.5*2</f>
        <v>1247</v>
      </c>
      <c r="I50" s="69">
        <f>499.5*2</f>
        <v>999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</row>
    <row r="51" spans="1:164" s="28" customFormat="1" x14ac:dyDescent="0.25">
      <c r="A51" s="38">
        <v>36</v>
      </c>
      <c r="B51" s="7" t="s">
        <v>97</v>
      </c>
      <c r="C51" s="34" t="s">
        <v>39</v>
      </c>
      <c r="D51" s="4">
        <f>21109.5*2</f>
        <v>42219</v>
      </c>
      <c r="E51" s="6">
        <f t="shared" si="2"/>
        <v>7388.3249999999998</v>
      </c>
      <c r="F51" s="6">
        <f t="shared" si="0"/>
        <v>1266.57</v>
      </c>
      <c r="G51" s="6">
        <f t="shared" si="1"/>
        <v>844.38</v>
      </c>
      <c r="H51" s="4">
        <f>932.5*2</f>
        <v>1865</v>
      </c>
      <c r="I51" s="4">
        <f>672.5*2</f>
        <v>1345</v>
      </c>
    </row>
    <row r="52" spans="1:164" s="71" customFormat="1" x14ac:dyDescent="0.25">
      <c r="A52" s="72">
        <v>37</v>
      </c>
      <c r="B52" s="73" t="s">
        <v>97</v>
      </c>
      <c r="C52" s="68" t="s">
        <v>39</v>
      </c>
      <c r="D52" s="69">
        <f>21109.5*2</f>
        <v>42219</v>
      </c>
      <c r="E52" s="74">
        <f t="shared" si="2"/>
        <v>7388.3249999999998</v>
      </c>
      <c r="F52" s="74">
        <f t="shared" si="0"/>
        <v>1266.57</v>
      </c>
      <c r="G52" s="74">
        <f t="shared" si="1"/>
        <v>844.38</v>
      </c>
      <c r="H52" s="69">
        <f>932.5*2</f>
        <v>1865</v>
      </c>
      <c r="I52" s="69">
        <f>672.5*2</f>
        <v>1345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</row>
    <row r="53" spans="1:164" s="28" customFormat="1" x14ac:dyDescent="0.25">
      <c r="A53" s="38">
        <v>38</v>
      </c>
      <c r="B53" s="7" t="s">
        <v>97</v>
      </c>
      <c r="C53" s="37" t="s">
        <v>15</v>
      </c>
      <c r="D53" s="31">
        <f>11416*2</f>
        <v>22832</v>
      </c>
      <c r="E53" s="6">
        <f t="shared" si="2"/>
        <v>3995.6</v>
      </c>
      <c r="F53" s="6">
        <f t="shared" si="0"/>
        <v>684.95999999999992</v>
      </c>
      <c r="G53" s="6">
        <f t="shared" si="1"/>
        <v>456.64</v>
      </c>
      <c r="H53" s="31">
        <f>623.5*2</f>
        <v>1247</v>
      </c>
      <c r="I53" s="31">
        <f>499.5*2</f>
        <v>999</v>
      </c>
    </row>
    <row r="54" spans="1:164" s="71" customFormat="1" x14ac:dyDescent="0.25">
      <c r="A54" s="72">
        <v>39</v>
      </c>
      <c r="B54" s="73" t="s">
        <v>97</v>
      </c>
      <c r="C54" s="68" t="s">
        <v>20</v>
      </c>
      <c r="D54" s="69">
        <f>7366.5*2</f>
        <v>14733</v>
      </c>
      <c r="E54" s="74">
        <f t="shared" si="2"/>
        <v>2578.2749999999996</v>
      </c>
      <c r="F54" s="74">
        <f t="shared" si="0"/>
        <v>441.99</v>
      </c>
      <c r="G54" s="74">
        <f t="shared" si="1"/>
        <v>294.66000000000003</v>
      </c>
      <c r="H54" s="69">
        <f>546.5*2</f>
        <v>1093</v>
      </c>
      <c r="I54" s="69">
        <f>449.5*2</f>
        <v>899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</row>
    <row r="55" spans="1:164" s="28" customFormat="1" x14ac:dyDescent="0.25">
      <c r="A55" s="38">
        <v>40</v>
      </c>
      <c r="B55" s="7" t="s">
        <v>97</v>
      </c>
      <c r="C55" s="34" t="s">
        <v>17</v>
      </c>
      <c r="D55" s="4">
        <f>7366.5*2</f>
        <v>14733</v>
      </c>
      <c r="E55" s="6">
        <f t="shared" si="2"/>
        <v>2578.2749999999996</v>
      </c>
      <c r="F55" s="6">
        <f t="shared" si="0"/>
        <v>441.99</v>
      </c>
      <c r="G55" s="6">
        <f t="shared" si="1"/>
        <v>294.66000000000003</v>
      </c>
      <c r="H55" s="4">
        <f>546.5*2</f>
        <v>1093</v>
      </c>
      <c r="I55" s="4">
        <f>449.5*2</f>
        <v>899</v>
      </c>
    </row>
    <row r="56" spans="1:164" s="71" customFormat="1" x14ac:dyDescent="0.25">
      <c r="A56" s="72">
        <v>41</v>
      </c>
      <c r="B56" s="73" t="s">
        <v>97</v>
      </c>
      <c r="C56" s="68" t="s">
        <v>131</v>
      </c>
      <c r="D56" s="69">
        <f>42499*2</f>
        <v>84998</v>
      </c>
      <c r="E56" s="74">
        <f t="shared" si="2"/>
        <v>14874.65</v>
      </c>
      <c r="F56" s="74">
        <f t="shared" si="0"/>
        <v>2549.94</v>
      </c>
      <c r="G56" s="74">
        <f t="shared" si="1"/>
        <v>1699.96</v>
      </c>
      <c r="H56" s="69">
        <f>1601*2</f>
        <v>3202</v>
      </c>
      <c r="I56" s="69">
        <f>1119*2</f>
        <v>2238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</row>
    <row r="57" spans="1:164" s="28" customFormat="1" x14ac:dyDescent="0.25">
      <c r="A57" s="38">
        <v>42</v>
      </c>
      <c r="B57" s="7" t="s">
        <v>97</v>
      </c>
      <c r="C57" s="34" t="s">
        <v>17</v>
      </c>
      <c r="D57" s="4">
        <f>7436.5*2</f>
        <v>14873</v>
      </c>
      <c r="E57" s="6">
        <f t="shared" si="2"/>
        <v>2602.7749999999996</v>
      </c>
      <c r="F57" s="6">
        <f t="shared" si="0"/>
        <v>446.19</v>
      </c>
      <c r="G57" s="6">
        <f t="shared" si="1"/>
        <v>297.45999999999998</v>
      </c>
      <c r="H57" s="4">
        <f>546.5*2</f>
        <v>1093</v>
      </c>
      <c r="I57" s="4">
        <f>449.5*2</f>
        <v>899</v>
      </c>
    </row>
    <row r="58" spans="1:164" s="71" customFormat="1" x14ac:dyDescent="0.25">
      <c r="A58" s="72">
        <v>43</v>
      </c>
      <c r="B58" s="73" t="s">
        <v>97</v>
      </c>
      <c r="C58" s="68" t="s">
        <v>20</v>
      </c>
      <c r="D58" s="92">
        <f>7366.5*2</f>
        <v>14733</v>
      </c>
      <c r="E58" s="74">
        <f t="shared" si="2"/>
        <v>2578.2749999999996</v>
      </c>
      <c r="F58" s="74">
        <f t="shared" si="0"/>
        <v>441.99</v>
      </c>
      <c r="G58" s="74">
        <f t="shared" si="1"/>
        <v>294.66000000000003</v>
      </c>
      <c r="H58" s="92">
        <f>546.5*2</f>
        <v>1093</v>
      </c>
      <c r="I58" s="69">
        <f>449.5*2</f>
        <v>899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</row>
    <row r="59" spans="1:164" s="28" customFormat="1" x14ac:dyDescent="0.25">
      <c r="A59" s="38">
        <v>44</v>
      </c>
      <c r="B59" s="7" t="s">
        <v>137</v>
      </c>
      <c r="C59" s="34" t="s">
        <v>15</v>
      </c>
      <c r="D59" s="4">
        <f>11416*2</f>
        <v>22832</v>
      </c>
      <c r="E59" s="6">
        <f t="shared" si="2"/>
        <v>3995.6</v>
      </c>
      <c r="F59" s="6">
        <f t="shared" si="0"/>
        <v>684.95999999999992</v>
      </c>
      <c r="G59" s="6">
        <f t="shared" si="1"/>
        <v>456.64</v>
      </c>
      <c r="H59" s="4">
        <f>623.5*2</f>
        <v>1247</v>
      </c>
      <c r="I59" s="4">
        <f>389.5*2</f>
        <v>779</v>
      </c>
    </row>
    <row r="60" spans="1:164" s="71" customFormat="1" x14ac:dyDescent="0.25">
      <c r="A60" s="72">
        <v>45</v>
      </c>
      <c r="B60" s="73" t="s">
        <v>97</v>
      </c>
      <c r="C60" s="68" t="s">
        <v>120</v>
      </c>
      <c r="D60" s="69">
        <f>7366.5*2</f>
        <v>14733</v>
      </c>
      <c r="E60" s="74">
        <f t="shared" si="2"/>
        <v>2578.2749999999996</v>
      </c>
      <c r="F60" s="74">
        <f t="shared" si="0"/>
        <v>441.99</v>
      </c>
      <c r="G60" s="74">
        <f t="shared" si="1"/>
        <v>294.66000000000003</v>
      </c>
      <c r="H60" s="69">
        <f>546.5*2</f>
        <v>1093</v>
      </c>
      <c r="I60" s="77">
        <f>449.5*2</f>
        <v>899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</row>
    <row r="61" spans="1:164" s="28" customFormat="1" x14ac:dyDescent="0.25">
      <c r="A61" s="38">
        <v>46</v>
      </c>
      <c r="B61" s="7" t="s">
        <v>97</v>
      </c>
      <c r="C61" s="34" t="s">
        <v>17</v>
      </c>
      <c r="D61" s="4">
        <f>7366.5*2</f>
        <v>14733</v>
      </c>
      <c r="E61" s="6">
        <f t="shared" si="2"/>
        <v>2578.2749999999996</v>
      </c>
      <c r="F61" s="6">
        <f>D61*0.03</f>
        <v>441.99</v>
      </c>
      <c r="G61" s="6">
        <f t="shared" si="1"/>
        <v>294.66000000000003</v>
      </c>
      <c r="H61" s="4">
        <f>546.5*2</f>
        <v>1093</v>
      </c>
      <c r="I61" s="4">
        <f>449.5*2</f>
        <v>899</v>
      </c>
    </row>
    <row r="62" spans="1:164" s="71" customFormat="1" x14ac:dyDescent="0.25">
      <c r="A62" s="72">
        <v>47</v>
      </c>
      <c r="B62" s="73" t="s">
        <v>97</v>
      </c>
      <c r="C62" s="68" t="s">
        <v>28</v>
      </c>
      <c r="D62" s="69">
        <f>12864.5*2</f>
        <v>25729</v>
      </c>
      <c r="E62" s="74">
        <f t="shared" si="2"/>
        <v>4502.5749999999998</v>
      </c>
      <c r="F62" s="74">
        <f t="shared" si="0"/>
        <v>771.87</v>
      </c>
      <c r="G62" s="74">
        <f t="shared" si="1"/>
        <v>514.58000000000004</v>
      </c>
      <c r="H62" s="69">
        <f>643*2</f>
        <v>1286</v>
      </c>
      <c r="I62" s="69">
        <f>528.5*2</f>
        <v>1057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</row>
    <row r="63" spans="1:164" s="28" customFormat="1" x14ac:dyDescent="0.25">
      <c r="A63" s="38">
        <v>48</v>
      </c>
      <c r="B63" s="7" t="s">
        <v>97</v>
      </c>
      <c r="C63" s="34" t="s">
        <v>15</v>
      </c>
      <c r="D63" s="4">
        <f>11416*2</f>
        <v>22832</v>
      </c>
      <c r="E63" s="6">
        <f t="shared" si="2"/>
        <v>3995.6</v>
      </c>
      <c r="F63" s="6">
        <f t="shared" si="0"/>
        <v>684.95999999999992</v>
      </c>
      <c r="G63" s="6">
        <f t="shared" si="1"/>
        <v>456.64</v>
      </c>
      <c r="H63" s="4">
        <f>623.5*2</f>
        <v>1247</v>
      </c>
      <c r="I63" s="4">
        <f>499.5*2</f>
        <v>999</v>
      </c>
    </row>
    <row r="64" spans="1:164" s="71" customFormat="1" x14ac:dyDescent="0.25">
      <c r="A64" s="72">
        <v>49</v>
      </c>
      <c r="B64" s="73" t="s">
        <v>97</v>
      </c>
      <c r="C64" s="68" t="s">
        <v>28</v>
      </c>
      <c r="D64" s="69">
        <f>12864.5*2</f>
        <v>25729</v>
      </c>
      <c r="E64" s="74">
        <f t="shared" si="2"/>
        <v>4502.5749999999998</v>
      </c>
      <c r="F64" s="74">
        <f t="shared" si="0"/>
        <v>771.87</v>
      </c>
      <c r="G64" s="74">
        <f t="shared" si="1"/>
        <v>514.58000000000004</v>
      </c>
      <c r="H64" s="69">
        <f>643*2</f>
        <v>1286</v>
      </c>
      <c r="I64" s="69">
        <f>528.5*2</f>
        <v>1057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</row>
    <row r="65" spans="1:164" s="28" customFormat="1" x14ac:dyDescent="0.25">
      <c r="A65" s="38">
        <v>50</v>
      </c>
      <c r="B65" s="7" t="s">
        <v>97</v>
      </c>
      <c r="C65" s="34" t="s">
        <v>15</v>
      </c>
      <c r="D65" s="4">
        <f>8562*2</f>
        <v>17124</v>
      </c>
      <c r="E65" s="6">
        <f t="shared" si="2"/>
        <v>2996.7</v>
      </c>
      <c r="F65" s="6">
        <f t="shared" si="0"/>
        <v>513.72</v>
      </c>
      <c r="G65" s="6">
        <f t="shared" si="1"/>
        <v>342.48</v>
      </c>
      <c r="H65" s="4">
        <f>467.5*2</f>
        <v>935</v>
      </c>
      <c r="I65" s="4">
        <f>374.5*2</f>
        <v>749</v>
      </c>
    </row>
    <row r="66" spans="1:164" s="71" customFormat="1" x14ac:dyDescent="0.25">
      <c r="A66" s="72">
        <v>51</v>
      </c>
      <c r="B66" s="73" t="s">
        <v>97</v>
      </c>
      <c r="C66" s="68" t="s">
        <v>120</v>
      </c>
      <c r="D66" s="69">
        <f>7436.5*2</f>
        <v>14873</v>
      </c>
      <c r="E66" s="74">
        <f t="shared" si="2"/>
        <v>2602.7749999999996</v>
      </c>
      <c r="F66" s="74">
        <f t="shared" si="0"/>
        <v>446.19</v>
      </c>
      <c r="G66" s="74">
        <f t="shared" si="1"/>
        <v>297.45999999999998</v>
      </c>
      <c r="H66" s="69">
        <f>546.5*2</f>
        <v>1093</v>
      </c>
      <c r="I66" s="69">
        <f>449.5*2</f>
        <v>899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</row>
    <row r="67" spans="1:164" s="28" customFormat="1" x14ac:dyDescent="0.25">
      <c r="A67" s="38">
        <v>52</v>
      </c>
      <c r="B67" s="7" t="s">
        <v>97</v>
      </c>
      <c r="C67" s="34" t="s">
        <v>15</v>
      </c>
      <c r="D67" s="4">
        <f>11416*2</f>
        <v>22832</v>
      </c>
      <c r="E67" s="6">
        <f t="shared" si="2"/>
        <v>3995.6</v>
      </c>
      <c r="F67" s="6">
        <f t="shared" si="0"/>
        <v>684.95999999999992</v>
      </c>
      <c r="G67" s="6">
        <f t="shared" si="1"/>
        <v>456.64</v>
      </c>
      <c r="H67" s="4">
        <f>623.5*2</f>
        <v>1247</v>
      </c>
      <c r="I67" s="4">
        <f>499.5*2</f>
        <v>999</v>
      </c>
    </row>
    <row r="68" spans="1:164" s="71" customFormat="1" x14ac:dyDescent="0.25">
      <c r="A68" s="72">
        <v>53</v>
      </c>
      <c r="B68" s="73" t="s">
        <v>97</v>
      </c>
      <c r="C68" s="68" t="s">
        <v>39</v>
      </c>
      <c r="D68" s="69">
        <f>21109.5*2</f>
        <v>42219</v>
      </c>
      <c r="E68" s="74">
        <f t="shared" si="2"/>
        <v>7388.3249999999998</v>
      </c>
      <c r="F68" s="74">
        <f t="shared" si="0"/>
        <v>1266.57</v>
      </c>
      <c r="G68" s="74">
        <f t="shared" si="1"/>
        <v>844.38</v>
      </c>
      <c r="H68" s="69">
        <f>932.5*2</f>
        <v>1865</v>
      </c>
      <c r="I68" s="69">
        <f>672.5*2</f>
        <v>1345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</row>
    <row r="69" spans="1:164" s="28" customFormat="1" x14ac:dyDescent="0.25">
      <c r="A69" s="38">
        <v>54</v>
      </c>
      <c r="B69" s="7" t="s">
        <v>97</v>
      </c>
      <c r="C69" s="34" t="s">
        <v>20</v>
      </c>
      <c r="D69" s="4">
        <f>7366.5*2</f>
        <v>14733</v>
      </c>
      <c r="E69" s="6">
        <f t="shared" si="2"/>
        <v>2578.2749999999996</v>
      </c>
      <c r="F69" s="6">
        <f t="shared" si="0"/>
        <v>441.99</v>
      </c>
      <c r="G69" s="6">
        <f t="shared" si="1"/>
        <v>294.66000000000003</v>
      </c>
      <c r="H69" s="4">
        <f>546.5*2</f>
        <v>1093</v>
      </c>
      <c r="I69" s="4">
        <f>449.5*2</f>
        <v>899</v>
      </c>
    </row>
    <row r="70" spans="1:164" s="71" customFormat="1" x14ac:dyDescent="0.25">
      <c r="A70" s="72">
        <v>55</v>
      </c>
      <c r="B70" s="73" t="s">
        <v>97</v>
      </c>
      <c r="C70" s="68" t="s">
        <v>23</v>
      </c>
      <c r="D70" s="69">
        <f>7366.5*2</f>
        <v>14733</v>
      </c>
      <c r="E70" s="74">
        <f t="shared" si="2"/>
        <v>2578.2749999999996</v>
      </c>
      <c r="F70" s="74">
        <f t="shared" si="0"/>
        <v>441.99</v>
      </c>
      <c r="G70" s="74">
        <f t="shared" si="1"/>
        <v>294.66000000000003</v>
      </c>
      <c r="H70" s="69">
        <f>546.5*2</f>
        <v>1093</v>
      </c>
      <c r="I70" s="69">
        <f>449.5*2</f>
        <v>899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</row>
    <row r="71" spans="1:164" s="28" customFormat="1" x14ac:dyDescent="0.25">
      <c r="A71" s="38">
        <v>56</v>
      </c>
      <c r="B71" s="7" t="s">
        <v>97</v>
      </c>
      <c r="C71" s="34" t="s">
        <v>119</v>
      </c>
      <c r="D71" s="4">
        <f>7366.5*2</f>
        <v>14733</v>
      </c>
      <c r="E71" s="6">
        <f t="shared" si="2"/>
        <v>2578.2749999999996</v>
      </c>
      <c r="F71" s="6">
        <f t="shared" si="0"/>
        <v>441.99</v>
      </c>
      <c r="G71" s="6">
        <f t="shared" si="1"/>
        <v>294.66000000000003</v>
      </c>
      <c r="H71" s="4">
        <f>546.5*2</f>
        <v>1093</v>
      </c>
      <c r="I71" s="4">
        <f>449.5*2</f>
        <v>899</v>
      </c>
    </row>
    <row r="72" spans="1:164" s="71" customFormat="1" x14ac:dyDescent="0.25">
      <c r="A72" s="72">
        <v>57</v>
      </c>
      <c r="B72" s="73" t="s">
        <v>97</v>
      </c>
      <c r="C72" s="68" t="s">
        <v>20</v>
      </c>
      <c r="D72" s="69">
        <f>7366.5*2</f>
        <v>14733</v>
      </c>
      <c r="E72" s="74">
        <f t="shared" si="2"/>
        <v>2578.2749999999996</v>
      </c>
      <c r="F72" s="74">
        <f t="shared" si="0"/>
        <v>441.99</v>
      </c>
      <c r="G72" s="74">
        <f t="shared" si="1"/>
        <v>294.66000000000003</v>
      </c>
      <c r="H72" s="69">
        <f>546.5*2</f>
        <v>1093</v>
      </c>
      <c r="I72" s="69">
        <f>449.5*2</f>
        <v>899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</row>
    <row r="73" spans="1:164" s="28" customFormat="1" x14ac:dyDescent="0.25">
      <c r="A73" s="38">
        <v>58</v>
      </c>
      <c r="B73" s="7" t="s">
        <v>97</v>
      </c>
      <c r="C73" s="34" t="s">
        <v>121</v>
      </c>
      <c r="D73" s="4">
        <f>10136*2</f>
        <v>20272</v>
      </c>
      <c r="E73" s="6">
        <f t="shared" si="2"/>
        <v>3547.6</v>
      </c>
      <c r="F73" s="6">
        <f t="shared" si="0"/>
        <v>608.16</v>
      </c>
      <c r="G73" s="6">
        <f t="shared" si="1"/>
        <v>405.44</v>
      </c>
      <c r="H73" s="4">
        <f>603*2</f>
        <v>1206</v>
      </c>
      <c r="I73" s="4">
        <f>487.5*2</f>
        <v>975</v>
      </c>
    </row>
    <row r="74" spans="1:164" s="71" customFormat="1" x14ac:dyDescent="0.25">
      <c r="A74" s="72">
        <v>59</v>
      </c>
      <c r="B74" s="73" t="s">
        <v>97</v>
      </c>
      <c r="C74" s="68" t="s">
        <v>15</v>
      </c>
      <c r="D74" s="69">
        <f>11416*2</f>
        <v>22832</v>
      </c>
      <c r="E74" s="74">
        <f t="shared" si="2"/>
        <v>3995.6</v>
      </c>
      <c r="F74" s="74">
        <f t="shared" si="0"/>
        <v>684.95999999999992</v>
      </c>
      <c r="G74" s="74">
        <f t="shared" si="1"/>
        <v>456.64</v>
      </c>
      <c r="H74" s="69">
        <f>623.5*2</f>
        <v>1247</v>
      </c>
      <c r="I74" s="69">
        <f>499.5*2</f>
        <v>999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</row>
    <row r="75" spans="1:164" s="28" customFormat="1" x14ac:dyDescent="0.25">
      <c r="A75" s="38">
        <v>60</v>
      </c>
      <c r="B75" s="7" t="s">
        <v>97</v>
      </c>
      <c r="C75" s="34" t="s">
        <v>28</v>
      </c>
      <c r="D75" s="4">
        <f>12864.5*2</f>
        <v>25729</v>
      </c>
      <c r="E75" s="6">
        <f t="shared" si="2"/>
        <v>4502.5749999999998</v>
      </c>
      <c r="F75" s="6">
        <f t="shared" si="0"/>
        <v>771.87</v>
      </c>
      <c r="G75" s="6">
        <f t="shared" si="1"/>
        <v>514.58000000000004</v>
      </c>
      <c r="H75" s="4">
        <f>643*2</f>
        <v>1286</v>
      </c>
      <c r="I75" s="4">
        <f>528.5*2</f>
        <v>1057</v>
      </c>
    </row>
    <row r="76" spans="1:164" s="71" customFormat="1" x14ac:dyDescent="0.25">
      <c r="A76" s="72">
        <v>61</v>
      </c>
      <c r="B76" s="73" t="s">
        <v>97</v>
      </c>
      <c r="C76" s="68" t="s">
        <v>28</v>
      </c>
      <c r="D76" s="69">
        <f>12864.5*2</f>
        <v>25729</v>
      </c>
      <c r="E76" s="74">
        <f t="shared" si="2"/>
        <v>4502.5749999999998</v>
      </c>
      <c r="F76" s="74">
        <f t="shared" si="0"/>
        <v>771.87</v>
      </c>
      <c r="G76" s="74">
        <f t="shared" si="1"/>
        <v>514.58000000000004</v>
      </c>
      <c r="H76" s="69">
        <f>643*2</f>
        <v>1286</v>
      </c>
      <c r="I76" s="69">
        <f>528.5*2</f>
        <v>1057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</row>
    <row r="77" spans="1:164" s="28" customFormat="1" x14ac:dyDescent="0.25">
      <c r="A77" s="38">
        <v>62</v>
      </c>
      <c r="B77" s="7" t="s">
        <v>97</v>
      </c>
      <c r="C77" s="37" t="s">
        <v>55</v>
      </c>
      <c r="D77" s="31">
        <f>12864.5*2</f>
        <v>25729</v>
      </c>
      <c r="E77" s="6">
        <f t="shared" si="2"/>
        <v>4502.5749999999998</v>
      </c>
      <c r="F77" s="6">
        <f t="shared" si="0"/>
        <v>771.87</v>
      </c>
      <c r="G77" s="6">
        <f t="shared" si="1"/>
        <v>514.58000000000004</v>
      </c>
      <c r="H77" s="31">
        <f>643*2</f>
        <v>1286</v>
      </c>
      <c r="I77" s="31">
        <f>528.5*2</f>
        <v>1057</v>
      </c>
    </row>
    <row r="78" spans="1:164" s="71" customFormat="1" x14ac:dyDescent="0.25">
      <c r="A78" s="72">
        <v>63</v>
      </c>
      <c r="B78" s="73" t="s">
        <v>97</v>
      </c>
      <c r="C78" s="68" t="s">
        <v>23</v>
      </c>
      <c r="D78" s="69">
        <f>7366.5*2</f>
        <v>14733</v>
      </c>
      <c r="E78" s="74">
        <f t="shared" si="2"/>
        <v>2578.2749999999996</v>
      </c>
      <c r="F78" s="74">
        <f t="shared" si="0"/>
        <v>441.99</v>
      </c>
      <c r="G78" s="74">
        <f t="shared" si="1"/>
        <v>294.66000000000003</v>
      </c>
      <c r="H78" s="69">
        <f>546.5*2</f>
        <v>1093</v>
      </c>
      <c r="I78" s="69">
        <f>449.5*2</f>
        <v>899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</row>
    <row r="79" spans="1:164" s="28" customFormat="1" x14ac:dyDescent="0.25">
      <c r="A79" s="38">
        <v>64</v>
      </c>
      <c r="B79" s="7" t="s">
        <v>97</v>
      </c>
      <c r="C79" s="81" t="s">
        <v>119</v>
      </c>
      <c r="D79" s="4">
        <f>7366.5*2</f>
        <v>14733</v>
      </c>
      <c r="E79" s="6">
        <f t="shared" si="2"/>
        <v>2578.2749999999996</v>
      </c>
      <c r="F79" s="6">
        <f t="shared" si="0"/>
        <v>441.99</v>
      </c>
      <c r="G79" s="6">
        <f t="shared" si="1"/>
        <v>294.66000000000003</v>
      </c>
      <c r="H79" s="4">
        <f>546.5*2</f>
        <v>1093</v>
      </c>
      <c r="I79" s="4">
        <f>449.5*2</f>
        <v>899</v>
      </c>
    </row>
    <row r="80" spans="1:164" s="71" customFormat="1" x14ac:dyDescent="0.25">
      <c r="A80" s="72">
        <v>65</v>
      </c>
      <c r="B80" s="73" t="s">
        <v>97</v>
      </c>
      <c r="C80" s="68" t="s">
        <v>72</v>
      </c>
      <c r="D80" s="69">
        <f>7436.5*2</f>
        <v>14873</v>
      </c>
      <c r="E80" s="74">
        <f t="shared" si="2"/>
        <v>2602.7749999999996</v>
      </c>
      <c r="F80" s="74">
        <f t="shared" ref="F80:F101" si="6">D80*0.03</f>
        <v>446.19</v>
      </c>
      <c r="G80" s="74">
        <f t="shared" ref="G80:G101" si="7">D80*0.02</f>
        <v>297.45999999999998</v>
      </c>
      <c r="H80" s="69">
        <f>546.5*2</f>
        <v>1093</v>
      </c>
      <c r="I80" s="69">
        <f>449.5*2</f>
        <v>899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</row>
    <row r="81" spans="1:164" s="28" customFormat="1" x14ac:dyDescent="0.25">
      <c r="A81" s="38">
        <v>66</v>
      </c>
      <c r="B81" s="7" t="s">
        <v>97</v>
      </c>
      <c r="C81" s="34" t="s">
        <v>23</v>
      </c>
      <c r="D81" s="4">
        <f>7366.5*2</f>
        <v>14733</v>
      </c>
      <c r="E81" s="6">
        <f t="shared" ref="E81:E101" si="8">D81*0.175</f>
        <v>2578.2749999999996</v>
      </c>
      <c r="F81" s="6">
        <f t="shared" si="6"/>
        <v>441.99</v>
      </c>
      <c r="G81" s="6">
        <f t="shared" si="7"/>
        <v>294.66000000000003</v>
      </c>
      <c r="H81" s="4">
        <f>546.5*2</f>
        <v>1093</v>
      </c>
      <c r="I81" s="4">
        <f>449.5*2</f>
        <v>899</v>
      </c>
    </row>
    <row r="82" spans="1:164" s="71" customFormat="1" x14ac:dyDescent="0.25">
      <c r="A82" s="72">
        <v>67</v>
      </c>
      <c r="B82" s="73" t="s">
        <v>97</v>
      </c>
      <c r="C82" s="68" t="s">
        <v>15</v>
      </c>
      <c r="D82" s="69">
        <f>11416*2</f>
        <v>22832</v>
      </c>
      <c r="E82" s="74">
        <f t="shared" si="8"/>
        <v>3995.6</v>
      </c>
      <c r="F82" s="74">
        <f t="shared" si="6"/>
        <v>684.95999999999992</v>
      </c>
      <c r="G82" s="74">
        <f t="shared" si="7"/>
        <v>456.64</v>
      </c>
      <c r="H82" s="69">
        <f>623.5*2</f>
        <v>1247</v>
      </c>
      <c r="I82" s="69">
        <f>499.5*2</f>
        <v>999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</row>
    <row r="83" spans="1:164" s="28" customFormat="1" x14ac:dyDescent="0.25">
      <c r="A83" s="38">
        <v>68</v>
      </c>
      <c r="B83" s="7" t="s">
        <v>97</v>
      </c>
      <c r="C83" s="34" t="s">
        <v>20</v>
      </c>
      <c r="D83" s="4">
        <f>7366.5*2</f>
        <v>14733</v>
      </c>
      <c r="E83" s="6">
        <f t="shared" si="8"/>
        <v>2578.2749999999996</v>
      </c>
      <c r="F83" s="6">
        <f t="shared" si="6"/>
        <v>441.99</v>
      </c>
      <c r="G83" s="6">
        <f t="shared" si="7"/>
        <v>294.66000000000003</v>
      </c>
      <c r="H83" s="4">
        <f>546.5*2</f>
        <v>1093</v>
      </c>
      <c r="I83" s="4">
        <f>449.5*2</f>
        <v>899</v>
      </c>
    </row>
    <row r="84" spans="1:164" s="71" customFormat="1" x14ac:dyDescent="0.25">
      <c r="A84" s="72">
        <v>69</v>
      </c>
      <c r="B84" s="73" t="s">
        <v>97</v>
      </c>
      <c r="C84" s="68" t="s">
        <v>119</v>
      </c>
      <c r="D84" s="69">
        <f>7366.5*2</f>
        <v>14733</v>
      </c>
      <c r="E84" s="74">
        <f t="shared" si="8"/>
        <v>2578.2749999999996</v>
      </c>
      <c r="F84" s="74">
        <f t="shared" si="6"/>
        <v>441.99</v>
      </c>
      <c r="G84" s="74">
        <f t="shared" si="7"/>
        <v>294.66000000000003</v>
      </c>
      <c r="H84" s="69">
        <f>546.5*2</f>
        <v>1093</v>
      </c>
      <c r="I84" s="69">
        <f>449.5*2</f>
        <v>899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</row>
    <row r="85" spans="1:164" s="28" customFormat="1" x14ac:dyDescent="0.25">
      <c r="A85" s="38">
        <v>70</v>
      </c>
      <c r="B85" s="7" t="s">
        <v>97</v>
      </c>
      <c r="C85" s="34" t="s">
        <v>15</v>
      </c>
      <c r="D85" s="4">
        <f>11416*2</f>
        <v>22832</v>
      </c>
      <c r="E85" s="6">
        <f t="shared" si="8"/>
        <v>3995.6</v>
      </c>
      <c r="F85" s="6">
        <f t="shared" si="6"/>
        <v>684.95999999999992</v>
      </c>
      <c r="G85" s="6">
        <f t="shared" si="7"/>
        <v>456.64</v>
      </c>
      <c r="H85" s="4">
        <f>623.5*2</f>
        <v>1247</v>
      </c>
      <c r="I85" s="4">
        <f>499.5*2</f>
        <v>999</v>
      </c>
    </row>
    <row r="86" spans="1:164" s="71" customFormat="1" x14ac:dyDescent="0.25">
      <c r="A86" s="72">
        <v>71</v>
      </c>
      <c r="B86" s="73" t="s">
        <v>97</v>
      </c>
      <c r="C86" s="68" t="s">
        <v>28</v>
      </c>
      <c r="D86" s="69">
        <f>12864.5*2</f>
        <v>25729</v>
      </c>
      <c r="E86" s="74">
        <f t="shared" si="8"/>
        <v>4502.5749999999998</v>
      </c>
      <c r="F86" s="74">
        <f t="shared" si="6"/>
        <v>771.87</v>
      </c>
      <c r="G86" s="74">
        <f t="shared" si="7"/>
        <v>514.58000000000004</v>
      </c>
      <c r="H86" s="69">
        <f>643*2</f>
        <v>1286</v>
      </c>
      <c r="I86" s="69">
        <f>528.5*2</f>
        <v>1057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</row>
    <row r="87" spans="1:164" s="28" customFormat="1" x14ac:dyDescent="0.25">
      <c r="A87" s="38">
        <v>72</v>
      </c>
      <c r="B87" s="7" t="s">
        <v>97</v>
      </c>
      <c r="C87" s="34" t="s">
        <v>15</v>
      </c>
      <c r="D87" s="4">
        <f>11416*2</f>
        <v>22832</v>
      </c>
      <c r="E87" s="6">
        <f t="shared" si="8"/>
        <v>3995.6</v>
      </c>
      <c r="F87" s="6">
        <f t="shared" si="6"/>
        <v>684.95999999999992</v>
      </c>
      <c r="G87" s="6">
        <f t="shared" si="7"/>
        <v>456.64</v>
      </c>
      <c r="H87" s="4">
        <f>623.5*2</f>
        <v>1247</v>
      </c>
      <c r="I87" s="4">
        <f>499.5*2</f>
        <v>999</v>
      </c>
    </row>
    <row r="88" spans="1:164" s="71" customFormat="1" x14ac:dyDescent="0.25">
      <c r="A88" s="72">
        <v>73</v>
      </c>
      <c r="B88" s="73" t="s">
        <v>97</v>
      </c>
      <c r="C88" s="68" t="s">
        <v>23</v>
      </c>
      <c r="D88" s="69">
        <f>7366.5*2</f>
        <v>14733</v>
      </c>
      <c r="E88" s="74">
        <f t="shared" si="8"/>
        <v>2578.2749999999996</v>
      </c>
      <c r="F88" s="74">
        <f t="shared" si="6"/>
        <v>441.99</v>
      </c>
      <c r="G88" s="74">
        <f t="shared" si="7"/>
        <v>294.66000000000003</v>
      </c>
      <c r="H88" s="69">
        <f>546.5*2</f>
        <v>1093</v>
      </c>
      <c r="I88" s="69">
        <f>449.5*2</f>
        <v>899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</row>
    <row r="89" spans="1:164" s="28" customFormat="1" x14ac:dyDescent="0.25">
      <c r="A89" s="38">
        <v>74</v>
      </c>
      <c r="B89" s="7" t="s">
        <v>97</v>
      </c>
      <c r="C89" s="34" t="s">
        <v>133</v>
      </c>
      <c r="D89" s="4">
        <f>42499*2</f>
        <v>84998</v>
      </c>
      <c r="E89" s="6">
        <f t="shared" si="8"/>
        <v>14874.65</v>
      </c>
      <c r="F89" s="6">
        <f t="shared" si="6"/>
        <v>2549.94</v>
      </c>
      <c r="G89" s="6">
        <f t="shared" si="7"/>
        <v>1699.96</v>
      </c>
      <c r="H89" s="4">
        <f>1601*2</f>
        <v>3202</v>
      </c>
      <c r="I89" s="4">
        <f>1119*2</f>
        <v>2238</v>
      </c>
    </row>
    <row r="90" spans="1:164" s="71" customFormat="1" x14ac:dyDescent="0.25">
      <c r="A90" s="72">
        <v>75</v>
      </c>
      <c r="B90" s="73" t="s">
        <v>97</v>
      </c>
      <c r="C90" s="68" t="s">
        <v>17</v>
      </c>
      <c r="D90" s="69">
        <f>7366.5*2</f>
        <v>14733</v>
      </c>
      <c r="E90" s="74">
        <f t="shared" si="8"/>
        <v>2578.2749999999996</v>
      </c>
      <c r="F90" s="74">
        <f t="shared" si="6"/>
        <v>441.99</v>
      </c>
      <c r="G90" s="74">
        <f t="shared" si="7"/>
        <v>294.66000000000003</v>
      </c>
      <c r="H90" s="69">
        <f>546.5*2</f>
        <v>1093</v>
      </c>
      <c r="I90" s="69">
        <f>449.5*2</f>
        <v>899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</row>
    <row r="91" spans="1:164" s="28" customFormat="1" x14ac:dyDescent="0.25">
      <c r="A91" s="38">
        <v>76</v>
      </c>
      <c r="B91" s="7" t="s">
        <v>97</v>
      </c>
      <c r="C91" s="34" t="s">
        <v>15</v>
      </c>
      <c r="D91" s="4">
        <f>11416*2</f>
        <v>22832</v>
      </c>
      <c r="E91" s="6">
        <f t="shared" si="8"/>
        <v>3995.6</v>
      </c>
      <c r="F91" s="6">
        <f t="shared" si="6"/>
        <v>684.95999999999992</v>
      </c>
      <c r="G91" s="6">
        <f t="shared" si="7"/>
        <v>456.64</v>
      </c>
      <c r="H91" s="4">
        <f>623.5*2</f>
        <v>1247</v>
      </c>
      <c r="I91" s="4">
        <f>499.5*2</f>
        <v>999</v>
      </c>
    </row>
    <row r="92" spans="1:164" s="71" customFormat="1" ht="16.5" customHeight="1" x14ac:dyDescent="0.25">
      <c r="A92" s="72">
        <v>77</v>
      </c>
      <c r="B92" s="73" t="s">
        <v>97</v>
      </c>
      <c r="C92" s="68" t="s">
        <v>117</v>
      </c>
      <c r="D92" s="69">
        <f>11416*2</f>
        <v>22832</v>
      </c>
      <c r="E92" s="74">
        <f t="shared" si="8"/>
        <v>3995.6</v>
      </c>
      <c r="F92" s="74">
        <f t="shared" si="6"/>
        <v>684.95999999999992</v>
      </c>
      <c r="G92" s="74">
        <f t="shared" si="7"/>
        <v>456.64</v>
      </c>
      <c r="H92" s="69">
        <f>623.5*2</f>
        <v>1247</v>
      </c>
      <c r="I92" s="77">
        <f>499.5*2</f>
        <v>999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</row>
    <row r="93" spans="1:164" s="28" customFormat="1" x14ac:dyDescent="0.25">
      <c r="A93" s="38">
        <v>78</v>
      </c>
      <c r="B93" s="7" t="s">
        <v>97</v>
      </c>
      <c r="C93" s="34" t="s">
        <v>28</v>
      </c>
      <c r="D93" s="4">
        <f>12864.5*2</f>
        <v>25729</v>
      </c>
      <c r="E93" s="6">
        <f t="shared" si="8"/>
        <v>4502.5749999999998</v>
      </c>
      <c r="F93" s="6">
        <f t="shared" si="6"/>
        <v>771.87</v>
      </c>
      <c r="G93" s="6">
        <f t="shared" si="7"/>
        <v>514.58000000000004</v>
      </c>
      <c r="H93" s="4">
        <f>643*2</f>
        <v>1286</v>
      </c>
      <c r="I93" s="4">
        <f>528.5*2</f>
        <v>1057</v>
      </c>
    </row>
    <row r="94" spans="1:164" s="71" customFormat="1" x14ac:dyDescent="0.25">
      <c r="A94" s="72">
        <v>79</v>
      </c>
      <c r="B94" s="73" t="s">
        <v>97</v>
      </c>
      <c r="C94" s="68" t="s">
        <v>20</v>
      </c>
      <c r="D94" s="69">
        <f>7366.5*2</f>
        <v>14733</v>
      </c>
      <c r="E94" s="74">
        <f t="shared" si="8"/>
        <v>2578.2749999999996</v>
      </c>
      <c r="F94" s="74">
        <f t="shared" si="6"/>
        <v>441.99</v>
      </c>
      <c r="G94" s="74">
        <f t="shared" si="7"/>
        <v>294.66000000000003</v>
      </c>
      <c r="H94" s="69">
        <f>546.5*2</f>
        <v>1093</v>
      </c>
      <c r="I94" s="69">
        <f>449.5*2</f>
        <v>899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</row>
    <row r="95" spans="1:164" s="28" customFormat="1" x14ac:dyDescent="0.25">
      <c r="A95" s="38">
        <v>80</v>
      </c>
      <c r="B95" s="7" t="s">
        <v>97</v>
      </c>
      <c r="C95" s="34" t="s">
        <v>28</v>
      </c>
      <c r="D95" s="4">
        <f>12864.5*2</f>
        <v>25729</v>
      </c>
      <c r="E95" s="6">
        <f t="shared" si="8"/>
        <v>4502.5749999999998</v>
      </c>
      <c r="F95" s="6">
        <f t="shared" si="6"/>
        <v>771.87</v>
      </c>
      <c r="G95" s="6">
        <f t="shared" si="7"/>
        <v>514.58000000000004</v>
      </c>
      <c r="H95" s="4">
        <f>643*2</f>
        <v>1286</v>
      </c>
      <c r="I95" s="4">
        <f>528.5*2</f>
        <v>1057</v>
      </c>
    </row>
    <row r="96" spans="1:164" s="71" customFormat="1" x14ac:dyDescent="0.25">
      <c r="A96" s="72">
        <v>81</v>
      </c>
      <c r="B96" s="73" t="s">
        <v>97</v>
      </c>
      <c r="C96" s="68" t="s">
        <v>119</v>
      </c>
      <c r="D96" s="69">
        <f>7366.5*2</f>
        <v>14733</v>
      </c>
      <c r="E96" s="74">
        <f t="shared" si="8"/>
        <v>2578.2749999999996</v>
      </c>
      <c r="F96" s="74">
        <f t="shared" si="6"/>
        <v>441.99</v>
      </c>
      <c r="G96" s="74">
        <f t="shared" si="7"/>
        <v>294.66000000000003</v>
      </c>
      <c r="H96" s="69">
        <f>546.5*2</f>
        <v>1093</v>
      </c>
      <c r="I96" s="69">
        <f>449.5*2</f>
        <v>899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</row>
    <row r="97" spans="1:164" s="28" customFormat="1" x14ac:dyDescent="0.25">
      <c r="A97" s="38">
        <v>82</v>
      </c>
      <c r="B97" s="7" t="s">
        <v>97</v>
      </c>
      <c r="C97" s="34" t="s">
        <v>39</v>
      </c>
      <c r="D97" s="4">
        <f>21109.5*2</f>
        <v>42219</v>
      </c>
      <c r="E97" s="6">
        <f t="shared" si="8"/>
        <v>7388.3249999999998</v>
      </c>
      <c r="F97" s="6">
        <f t="shared" si="6"/>
        <v>1266.57</v>
      </c>
      <c r="G97" s="6">
        <f t="shared" si="7"/>
        <v>844.38</v>
      </c>
      <c r="H97" s="4">
        <f>932.5*2</f>
        <v>1865</v>
      </c>
      <c r="I97" s="4">
        <f>672.5*2</f>
        <v>1345</v>
      </c>
    </row>
    <row r="98" spans="1:164" s="71" customFormat="1" x14ac:dyDescent="0.25">
      <c r="A98" s="72">
        <v>83</v>
      </c>
      <c r="B98" s="73" t="s">
        <v>97</v>
      </c>
      <c r="C98" s="68" t="s">
        <v>15</v>
      </c>
      <c r="D98" s="69">
        <f>11416*2</f>
        <v>22832</v>
      </c>
      <c r="E98" s="74">
        <f t="shared" si="8"/>
        <v>3995.6</v>
      </c>
      <c r="F98" s="74">
        <f t="shared" si="6"/>
        <v>684.95999999999992</v>
      </c>
      <c r="G98" s="74">
        <f t="shared" si="7"/>
        <v>456.64</v>
      </c>
      <c r="H98" s="69">
        <f>623.5*2</f>
        <v>1247</v>
      </c>
      <c r="I98" s="69">
        <f>499.5*2</f>
        <v>999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</row>
    <row r="99" spans="1:164" s="28" customFormat="1" x14ac:dyDescent="0.25">
      <c r="A99" s="38">
        <v>84</v>
      </c>
      <c r="B99" s="7" t="s">
        <v>97</v>
      </c>
      <c r="C99" s="34" t="s">
        <v>28</v>
      </c>
      <c r="D99" s="4">
        <f>12864.5*2</f>
        <v>25729</v>
      </c>
      <c r="E99" s="6">
        <f t="shared" si="8"/>
        <v>4502.5749999999998</v>
      </c>
      <c r="F99" s="6">
        <f t="shared" si="6"/>
        <v>771.87</v>
      </c>
      <c r="G99" s="6">
        <f t="shared" si="7"/>
        <v>514.58000000000004</v>
      </c>
      <c r="H99" s="4">
        <f>643*2</f>
        <v>1286</v>
      </c>
      <c r="I99" s="4">
        <f>528.5*2</f>
        <v>1057</v>
      </c>
    </row>
    <row r="100" spans="1:164" s="71" customFormat="1" x14ac:dyDescent="0.25">
      <c r="A100" s="72">
        <v>85</v>
      </c>
      <c r="B100" s="73" t="s">
        <v>97</v>
      </c>
      <c r="C100" s="68" t="s">
        <v>23</v>
      </c>
      <c r="D100" s="69">
        <f>7366.5*2</f>
        <v>14733</v>
      </c>
      <c r="E100" s="74">
        <f t="shared" si="8"/>
        <v>2578.2749999999996</v>
      </c>
      <c r="F100" s="74">
        <f t="shared" si="6"/>
        <v>441.99</v>
      </c>
      <c r="G100" s="74">
        <f t="shared" si="7"/>
        <v>294.66000000000003</v>
      </c>
      <c r="H100" s="69">
        <f>546.5*2</f>
        <v>1093</v>
      </c>
      <c r="I100" s="69">
        <f>449.5*2</f>
        <v>899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</row>
    <row r="101" spans="1:164" s="28" customFormat="1" ht="15.75" thickBot="1" x14ac:dyDescent="0.3">
      <c r="A101" s="39">
        <v>86</v>
      </c>
      <c r="B101" s="35" t="s">
        <v>97</v>
      </c>
      <c r="C101" s="40" t="s">
        <v>39</v>
      </c>
      <c r="D101" s="33">
        <f>21140*2</f>
        <v>42280</v>
      </c>
      <c r="E101" s="22">
        <f t="shared" si="8"/>
        <v>7398.9999999999991</v>
      </c>
      <c r="F101" s="22">
        <f t="shared" si="6"/>
        <v>1268.3999999999999</v>
      </c>
      <c r="G101" s="22">
        <f t="shared" si="7"/>
        <v>845.6</v>
      </c>
      <c r="H101" s="33">
        <f>932.5*2</f>
        <v>1865</v>
      </c>
      <c r="I101" s="33">
        <f>672.5*2</f>
        <v>1345</v>
      </c>
    </row>
    <row r="102" spans="1:164" ht="15.75" x14ac:dyDescent="0.25">
      <c r="A102" s="8"/>
      <c r="B102" s="8"/>
      <c r="C102" s="9"/>
      <c r="D102" s="10"/>
      <c r="E102" s="11"/>
      <c r="F102" s="10"/>
      <c r="G102" s="10"/>
      <c r="H102" s="10"/>
      <c r="I102" s="10"/>
    </row>
    <row r="103" spans="1:164" x14ac:dyDescent="0.25">
      <c r="A103" s="12"/>
      <c r="B103" s="12"/>
      <c r="C103" s="12"/>
      <c r="D103" s="13"/>
      <c r="E103" s="13"/>
      <c r="F103" s="13"/>
      <c r="G103" s="13"/>
      <c r="H103" s="13"/>
      <c r="I103" s="13"/>
    </row>
    <row r="104" spans="1:164" ht="18.75" x14ac:dyDescent="0.3">
      <c r="A104" s="12"/>
      <c r="B104" s="12"/>
      <c r="C104" s="93" t="s">
        <v>241</v>
      </c>
      <c r="D104" s="12"/>
      <c r="E104" s="12"/>
      <c r="F104" s="12"/>
      <c r="G104" s="12"/>
      <c r="H104" s="12"/>
      <c r="I104" s="12"/>
    </row>
    <row r="105" spans="1:164" x14ac:dyDescent="0.25">
      <c r="A105" s="12"/>
      <c r="B105" s="12"/>
      <c r="C105" s="12" t="s">
        <v>98</v>
      </c>
      <c r="D105" s="12">
        <v>64</v>
      </c>
      <c r="E105" s="12"/>
      <c r="F105" s="12" t="s">
        <v>99</v>
      </c>
      <c r="G105" s="12"/>
      <c r="H105" s="12">
        <v>0</v>
      </c>
      <c r="I105" s="12"/>
    </row>
    <row r="106" spans="1:164" x14ac:dyDescent="0.25">
      <c r="A106" s="12"/>
      <c r="B106" s="12"/>
      <c r="C106" s="12" t="s">
        <v>100</v>
      </c>
      <c r="D106" s="12">
        <v>22</v>
      </c>
      <c r="E106" s="12"/>
      <c r="F106" s="12" t="s">
        <v>101</v>
      </c>
      <c r="G106" s="12"/>
      <c r="H106" s="12">
        <v>85</v>
      </c>
      <c r="I106" s="12"/>
    </row>
    <row r="107" spans="1:164" x14ac:dyDescent="0.25">
      <c r="A107" s="12"/>
      <c r="B107" s="12"/>
      <c r="C107" s="12" t="s">
        <v>102</v>
      </c>
      <c r="D107" s="12">
        <f>SUM(D105:D106)</f>
        <v>86</v>
      </c>
      <c r="E107" s="12"/>
      <c r="F107" s="12" t="s">
        <v>137</v>
      </c>
      <c r="G107" s="12"/>
      <c r="H107" s="12">
        <v>1</v>
      </c>
      <c r="I107" s="12"/>
    </row>
    <row r="108" spans="1:164" x14ac:dyDescent="0.25">
      <c r="A108" s="12"/>
      <c r="B108" s="12"/>
      <c r="C108" s="12"/>
      <c r="D108" s="12"/>
      <c r="E108" s="12"/>
      <c r="F108" s="14" t="s">
        <v>102</v>
      </c>
      <c r="G108" s="12"/>
      <c r="H108" s="12">
        <f>SUM(H105:H107)</f>
        <v>86</v>
      </c>
      <c r="I108" s="12"/>
    </row>
    <row r="109" spans="1:164" x14ac:dyDescent="0.25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164" x14ac:dyDescent="0.25">
      <c r="A110" s="12"/>
      <c r="B110" s="12"/>
      <c r="C110" s="12" t="s">
        <v>103</v>
      </c>
      <c r="D110" s="12" t="s">
        <v>104</v>
      </c>
      <c r="E110" s="12">
        <v>40</v>
      </c>
      <c r="F110" s="12"/>
      <c r="G110" s="12"/>
      <c r="H110" s="12"/>
      <c r="I110" s="12"/>
    </row>
    <row r="111" spans="1:164" x14ac:dyDescent="0.25">
      <c r="A111" s="12"/>
      <c r="B111" s="12"/>
      <c r="C111" s="12" t="s">
        <v>105</v>
      </c>
      <c r="D111" s="12" t="s">
        <v>106</v>
      </c>
      <c r="E111" s="12">
        <v>46</v>
      </c>
      <c r="F111" s="12"/>
      <c r="G111" s="12"/>
      <c r="H111" s="12"/>
      <c r="I111" s="12"/>
    </row>
    <row r="112" spans="1:164" x14ac:dyDescent="0.25">
      <c r="A112" s="12"/>
      <c r="B112" s="12"/>
      <c r="C112" s="12"/>
      <c r="D112" s="12"/>
      <c r="E112" s="12">
        <f>SUM(E110:E111)</f>
        <v>86</v>
      </c>
      <c r="F112" s="12"/>
      <c r="G112" s="12"/>
      <c r="H112" s="12"/>
      <c r="I112" s="12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x14ac:dyDescent="0.25">
      <c r="A114" s="12"/>
      <c r="B114" s="12"/>
      <c r="C114" s="12" t="s">
        <v>107</v>
      </c>
      <c r="D114" s="12">
        <v>29</v>
      </c>
      <c r="E114" s="12"/>
      <c r="F114" s="12" t="s">
        <v>108</v>
      </c>
      <c r="G114" s="12"/>
      <c r="H114" s="30">
        <v>11</v>
      </c>
      <c r="I114" s="12">
        <f>D114+H114</f>
        <v>40</v>
      </c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 x14ac:dyDescent="0.25">
      <c r="A116" s="12"/>
      <c r="B116" s="12"/>
      <c r="C116" s="12" t="s">
        <v>109</v>
      </c>
      <c r="D116" s="30">
        <v>35</v>
      </c>
      <c r="E116" s="12"/>
      <c r="F116" s="12" t="s">
        <v>110</v>
      </c>
      <c r="G116" s="12"/>
      <c r="H116" s="30">
        <v>11</v>
      </c>
      <c r="I116" s="12">
        <f>D116+H116</f>
        <v>46</v>
      </c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 x14ac:dyDescent="0.25">
      <c r="A118" s="12"/>
      <c r="B118" s="12"/>
      <c r="C118" s="12" t="s">
        <v>102</v>
      </c>
      <c r="D118" s="12"/>
      <c r="E118" s="12"/>
      <c r="F118" s="12" t="s">
        <v>102</v>
      </c>
      <c r="G118" s="12" t="s">
        <v>111</v>
      </c>
      <c r="H118" s="12"/>
      <c r="I118" s="12">
        <f>SUM(I114:I117)</f>
        <v>86</v>
      </c>
    </row>
  </sheetData>
  <mergeCells count="9">
    <mergeCell ref="G12:G14"/>
    <mergeCell ref="H12:H14"/>
    <mergeCell ref="I12:I14"/>
    <mergeCell ref="A12:A14"/>
    <mergeCell ref="B12:B14"/>
    <mergeCell ref="C12:C14"/>
    <mergeCell ref="D12:D14"/>
    <mergeCell ref="E12:E14"/>
    <mergeCell ref="F12:F14"/>
  </mergeCells>
  <pageMargins left="0.7" right="0.7" top="0.75" bottom="0.75" header="0.3" footer="0.3"/>
  <pageSetup orientation="portrait" r:id="rId1"/>
  <ignoredErrors>
    <ignoredError sqref="D22:D23 D24 D26 H22:I22 H24:I24 H26:I26 D35 D38:D39 H35:I35 H38:I38 D59 D63 H63:I63 H59:I59 H56:I56 D80 D82 D86 D89 D94:D95 H82:I82 H86:I86 H89:I89 H94:I94 H39:I39 H23:I23 H95: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2019-12-19T19:29:12Z</cp:lastPrinted>
  <dcterms:created xsi:type="dcterms:W3CDTF">2018-03-21T18:00:46Z</dcterms:created>
  <dcterms:modified xsi:type="dcterms:W3CDTF">2020-05-14T14:22:31Z</dcterms:modified>
</cp:coreProperties>
</file>